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740"/>
  </bookViews>
  <sheets>
    <sheet name="Info" sheetId="3" r:id="rId1"/>
    <sheet name="datasheet" sheetId="1" r:id="rId2"/>
    <sheet name="codesheet" sheetId="2" r:id="rId3"/>
    <sheet name="sample decription" sheetId="5" r:id="rId4"/>
    <sheet name="chi_control" sheetId="10" r:id="rId5"/>
    <sheet name="datasheet_control" sheetId="45" r:id="rId6"/>
    <sheet name="chi_control_monitor" sheetId="46" r:id="rId7"/>
    <sheet name="chi_control_nrm" sheetId="48" r:id="rId8"/>
    <sheet name="chi_control_co2" sheetId="49" r:id="rId9"/>
    <sheet name="chi_control_support" sheetId="50" r:id="rId10"/>
    <sheet name="datasheet_treatment" sheetId="6" r:id="rId11"/>
    <sheet name="bleach_treatment" sheetId="8" r:id="rId12"/>
    <sheet name="chi_monitor" sheetId="19" r:id="rId13"/>
    <sheet name="chi_nrm" sheetId="15" r:id="rId14"/>
    <sheet name="chi_co2" sheetId="20" r:id="rId15"/>
    <sheet name="chi_chgsites" sheetId="35" r:id="rId16"/>
    <sheet name="chi_chgact" sheetId="36" r:id="rId17"/>
    <sheet name="chi_support" sheetId="18" r:id="rId18"/>
    <sheet name="chi_chgop" sheetId="14" r:id="rId19"/>
    <sheet name="cyclone_treatment" sheetId="25" r:id="rId20"/>
    <sheet name="chi_chgsites_cyclone" sheetId="26" r:id="rId21"/>
    <sheet name="chi_monitor_cyclone" sheetId="43" r:id="rId22"/>
    <sheet name="chi_nrm_cyclone" sheetId="39" r:id="rId23"/>
    <sheet name="chi_co2_cyclone" sheetId="44" r:id="rId24"/>
    <sheet name="chi_relief_cyclone" sheetId="41" r:id="rId25"/>
    <sheet name="chi_chgact_cyclone" sheetId="37" r:id="rId26"/>
    <sheet name="chi_support_cyclone" sheetId="42" r:id="rId27"/>
    <sheet name="chi_divbl_cyclone" sheetId="40" r:id="rId2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1" l="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 i="1"/>
  <c r="D38" i="46" l="1"/>
  <c r="D62" i="46"/>
  <c r="D61" i="46"/>
  <c r="C61" i="46"/>
  <c r="E61" i="46" s="1"/>
  <c r="D60" i="46"/>
  <c r="C60" i="46"/>
  <c r="C62" i="46" s="1"/>
  <c r="D39" i="46"/>
  <c r="C39" i="46"/>
  <c r="E39" i="46" s="1"/>
  <c r="D40" i="46"/>
  <c r="C38" i="46"/>
  <c r="E38" i="46" l="1"/>
  <c r="E60" i="46"/>
  <c r="C40" i="46"/>
  <c r="O9" i="50"/>
  <c r="O8" i="50"/>
  <c r="N9" i="50"/>
  <c r="N8" i="50"/>
  <c r="L9" i="50"/>
  <c r="L8" i="50"/>
  <c r="K9" i="50"/>
  <c r="K8" i="50"/>
  <c r="I9" i="50"/>
  <c r="I8" i="50"/>
  <c r="H9" i="50"/>
  <c r="H8" i="50"/>
  <c r="G9" i="50"/>
  <c r="G8" i="50"/>
  <c r="E9" i="50"/>
  <c r="E8" i="50"/>
  <c r="D9" i="50"/>
  <c r="D8" i="50"/>
  <c r="C9" i="50"/>
  <c r="C8" i="50"/>
  <c r="G32" i="50"/>
  <c r="N33" i="49"/>
  <c r="N9" i="49"/>
  <c r="N8" i="49"/>
  <c r="O9" i="49"/>
  <c r="O8" i="49"/>
  <c r="L9" i="49"/>
  <c r="L8" i="49"/>
  <c r="K9" i="49"/>
  <c r="K8" i="49"/>
  <c r="I9" i="49"/>
  <c r="I8" i="49"/>
  <c r="H9" i="49"/>
  <c r="H8" i="49"/>
  <c r="G9" i="49"/>
  <c r="G8" i="49"/>
  <c r="E9" i="49"/>
  <c r="E8" i="49"/>
  <c r="D9" i="49"/>
  <c r="D8" i="49"/>
  <c r="C9" i="49"/>
  <c r="C8" i="49"/>
  <c r="G32" i="49"/>
  <c r="D15" i="48"/>
  <c r="N33" i="48"/>
  <c r="O9" i="48"/>
  <c r="O8" i="48"/>
  <c r="N9" i="48"/>
  <c r="N8" i="48"/>
  <c r="L9" i="48"/>
  <c r="L8" i="48"/>
  <c r="K9" i="48"/>
  <c r="K8" i="48"/>
  <c r="I9" i="48"/>
  <c r="I8" i="48"/>
  <c r="H9" i="48"/>
  <c r="H8" i="48"/>
  <c r="G9" i="48"/>
  <c r="G8" i="48"/>
  <c r="E9" i="48"/>
  <c r="E8" i="48"/>
  <c r="D60" i="48" s="1"/>
  <c r="D9" i="48"/>
  <c r="D8" i="48"/>
  <c r="C9" i="48"/>
  <c r="C8" i="48"/>
  <c r="C10" i="48" s="1"/>
  <c r="C8" i="46"/>
  <c r="G32" i="48"/>
  <c r="E40" i="46" l="1"/>
  <c r="D44" i="46"/>
  <c r="D51" i="46" s="1"/>
  <c r="E62" i="46"/>
  <c r="D66" i="46"/>
  <c r="D73" i="46" s="1"/>
  <c r="E66" i="46"/>
  <c r="C66" i="46"/>
  <c r="C73" i="46" s="1"/>
  <c r="L10" i="50"/>
  <c r="F8" i="50"/>
  <c r="E15" i="50" s="1"/>
  <c r="P9" i="50"/>
  <c r="O16" i="50" s="1"/>
  <c r="P8" i="50"/>
  <c r="N15" i="50" s="1"/>
  <c r="J9" i="50"/>
  <c r="G16" i="50" s="1"/>
  <c r="C10" i="50"/>
  <c r="K10" i="50"/>
  <c r="J8" i="50"/>
  <c r="G15" i="50" s="1"/>
  <c r="D10" i="50"/>
  <c r="E10" i="50"/>
  <c r="M9" i="50"/>
  <c r="L16" i="50" s="1"/>
  <c r="N10" i="50"/>
  <c r="M8" i="50"/>
  <c r="K15" i="50" s="1"/>
  <c r="F9" i="50"/>
  <c r="C16" i="50" s="1"/>
  <c r="G10" i="50"/>
  <c r="H10" i="50"/>
  <c r="O10" i="50"/>
  <c r="I10" i="50"/>
  <c r="N10" i="49"/>
  <c r="O10" i="49"/>
  <c r="P9" i="49"/>
  <c r="N16" i="49" s="1"/>
  <c r="L10" i="49"/>
  <c r="J9" i="49"/>
  <c r="H16" i="49" s="1"/>
  <c r="P8" i="49"/>
  <c r="O15" i="49" s="1"/>
  <c r="C10" i="49"/>
  <c r="K10" i="49"/>
  <c r="J8" i="49"/>
  <c r="H15" i="49" s="1"/>
  <c r="D10" i="49"/>
  <c r="E10" i="49"/>
  <c r="M9" i="49"/>
  <c r="M16" i="49" s="1"/>
  <c r="O16" i="49"/>
  <c r="M8" i="49"/>
  <c r="F9" i="49"/>
  <c r="D16" i="49" s="1"/>
  <c r="G10" i="49"/>
  <c r="H10" i="49"/>
  <c r="F8" i="49"/>
  <c r="C15" i="49" s="1"/>
  <c r="I10" i="49"/>
  <c r="O10" i="48"/>
  <c r="P9" i="48"/>
  <c r="O16" i="48" s="1"/>
  <c r="P8" i="48"/>
  <c r="P15" i="48" s="1"/>
  <c r="K10" i="48"/>
  <c r="J9" i="48"/>
  <c r="I16" i="48" s="1"/>
  <c r="E10" i="48"/>
  <c r="D62" i="48" s="1"/>
  <c r="G16" i="48"/>
  <c r="J16" i="48"/>
  <c r="J8" i="48"/>
  <c r="H15" i="48" s="1"/>
  <c r="D10" i="48"/>
  <c r="L10" i="48"/>
  <c r="C38" i="48"/>
  <c r="C60" i="48"/>
  <c r="M9" i="48"/>
  <c r="N10" i="48"/>
  <c r="H16" i="48"/>
  <c r="D38" i="48"/>
  <c r="M8" i="48"/>
  <c r="K15" i="48" s="1"/>
  <c r="F9" i="48"/>
  <c r="D16" i="48" s="1"/>
  <c r="G10" i="48"/>
  <c r="C39" i="48"/>
  <c r="C61" i="48"/>
  <c r="H10" i="48"/>
  <c r="D39" i="48"/>
  <c r="D61" i="48"/>
  <c r="I10" i="48"/>
  <c r="F8" i="48"/>
  <c r="O9" i="46"/>
  <c r="O8" i="46"/>
  <c r="N9" i="46"/>
  <c r="N8" i="46"/>
  <c r="L9" i="46"/>
  <c r="L8" i="46"/>
  <c r="K9" i="46"/>
  <c r="K8" i="46"/>
  <c r="I9" i="46"/>
  <c r="I8" i="46"/>
  <c r="H9" i="46"/>
  <c r="H8" i="46"/>
  <c r="G9" i="46"/>
  <c r="G8" i="46"/>
  <c r="E9" i="46"/>
  <c r="E8" i="46"/>
  <c r="D9" i="46"/>
  <c r="D8" i="46"/>
  <c r="C9" i="46"/>
  <c r="G32" i="46"/>
  <c r="C46" i="46" l="1"/>
  <c r="E46" i="46"/>
  <c r="D46" i="46"/>
  <c r="C45" i="46"/>
  <c r="C52" i="46" s="1"/>
  <c r="E67" i="46"/>
  <c r="E45" i="46"/>
  <c r="D45" i="46"/>
  <c r="D52" i="46" s="1"/>
  <c r="E44" i="46"/>
  <c r="C68" i="46"/>
  <c r="D68" i="46"/>
  <c r="E68" i="46"/>
  <c r="C67" i="46"/>
  <c r="C74" i="46" s="1"/>
  <c r="D77" i="46" s="1"/>
  <c r="D78" i="46" s="1"/>
  <c r="D67" i="46"/>
  <c r="D74" i="46" s="1"/>
  <c r="C44" i="46"/>
  <c r="C51" i="46" s="1"/>
  <c r="D55" i="46" s="1"/>
  <c r="D56" i="46" s="1"/>
  <c r="N16" i="50"/>
  <c r="O15" i="50"/>
  <c r="I16" i="50"/>
  <c r="C15" i="50"/>
  <c r="D15" i="50"/>
  <c r="F15" i="50"/>
  <c r="F10" i="50"/>
  <c r="D22" i="50" s="1"/>
  <c r="D29" i="50" s="1"/>
  <c r="F22" i="50"/>
  <c r="H15" i="50"/>
  <c r="D16" i="50"/>
  <c r="F16" i="50"/>
  <c r="E16" i="50"/>
  <c r="M16" i="50"/>
  <c r="P16" i="50"/>
  <c r="K16" i="50"/>
  <c r="J10" i="50"/>
  <c r="H17" i="50" s="1"/>
  <c r="J15" i="50"/>
  <c r="I15" i="50"/>
  <c r="M10" i="50"/>
  <c r="M23" i="50" s="1"/>
  <c r="M15" i="50"/>
  <c r="L15" i="50"/>
  <c r="J16" i="50"/>
  <c r="H16" i="50"/>
  <c r="P10" i="50"/>
  <c r="O23" i="50" s="1"/>
  <c r="O30" i="50" s="1"/>
  <c r="P15" i="50"/>
  <c r="P22" i="50"/>
  <c r="P16" i="49"/>
  <c r="N15" i="49"/>
  <c r="G16" i="49"/>
  <c r="J16" i="49"/>
  <c r="I16" i="49"/>
  <c r="G15" i="49"/>
  <c r="D15" i="49"/>
  <c r="J10" i="49"/>
  <c r="H17" i="49" s="1"/>
  <c r="J15" i="49"/>
  <c r="F16" i="49"/>
  <c r="E16" i="49"/>
  <c r="M10" i="49"/>
  <c r="M15" i="49"/>
  <c r="L15" i="49"/>
  <c r="L16" i="49"/>
  <c r="C16" i="49"/>
  <c r="F10" i="49"/>
  <c r="D17" i="49" s="1"/>
  <c r="F15" i="49"/>
  <c r="P10" i="49"/>
  <c r="N22" i="49" s="1"/>
  <c r="N29" i="49" s="1"/>
  <c r="P15" i="49"/>
  <c r="I15" i="49"/>
  <c r="K15" i="49"/>
  <c r="E15" i="49"/>
  <c r="K16" i="49"/>
  <c r="N16" i="48"/>
  <c r="P16" i="48"/>
  <c r="P10" i="48"/>
  <c r="O23" i="48" s="1"/>
  <c r="O30" i="48" s="1"/>
  <c r="N15" i="48"/>
  <c r="O15" i="48"/>
  <c r="L15" i="48"/>
  <c r="C15" i="48"/>
  <c r="E15" i="48"/>
  <c r="E16" i="48"/>
  <c r="C16" i="48"/>
  <c r="M16" i="48"/>
  <c r="K16" i="48"/>
  <c r="C62" i="48"/>
  <c r="E60" i="48"/>
  <c r="C40" i="48"/>
  <c r="E38" i="48"/>
  <c r="J10" i="48"/>
  <c r="I22" i="48" s="1"/>
  <c r="I29" i="48" s="1"/>
  <c r="J15" i="48"/>
  <c r="L16" i="48"/>
  <c r="F15" i="48"/>
  <c r="F10" i="48"/>
  <c r="F22" i="48" s="1"/>
  <c r="E61" i="48"/>
  <c r="M15" i="48"/>
  <c r="G15" i="48"/>
  <c r="I15" i="48"/>
  <c r="F16" i="48"/>
  <c r="E39" i="48"/>
  <c r="D40" i="48"/>
  <c r="M10" i="48"/>
  <c r="O10" i="46"/>
  <c r="P9" i="46"/>
  <c r="O16" i="46" s="1"/>
  <c r="P8" i="46"/>
  <c r="K10" i="46"/>
  <c r="J9" i="46"/>
  <c r="J16" i="46" s="1"/>
  <c r="C10" i="46"/>
  <c r="D10" i="46"/>
  <c r="L10" i="46"/>
  <c r="E10" i="46"/>
  <c r="M9" i="46"/>
  <c r="N10" i="46"/>
  <c r="H16" i="46"/>
  <c r="J8" i="46"/>
  <c r="G15" i="46" s="1"/>
  <c r="M8" i="46"/>
  <c r="K15" i="46" s="1"/>
  <c r="F9" i="46"/>
  <c r="D16" i="46" s="1"/>
  <c r="G10" i="46"/>
  <c r="O15" i="46"/>
  <c r="H10" i="46"/>
  <c r="I10" i="46"/>
  <c r="F8" i="46"/>
  <c r="D15" i="46" s="1"/>
  <c r="AC61" i="45"/>
  <c r="AL61" i="45" s="1"/>
  <c r="Y61" i="45"/>
  <c r="V61" i="45"/>
  <c r="S61" i="45"/>
  <c r="P61" i="45"/>
  <c r="M61" i="45"/>
  <c r="AC60" i="45"/>
  <c r="AL60" i="45" s="1"/>
  <c r="Y60" i="45"/>
  <c r="V60" i="45"/>
  <c r="S60" i="45"/>
  <c r="P60" i="45"/>
  <c r="M60" i="45"/>
  <c r="AC59" i="45"/>
  <c r="AL59" i="45" s="1"/>
  <c r="Y59" i="45"/>
  <c r="V59" i="45"/>
  <c r="S59" i="45"/>
  <c r="P59" i="45"/>
  <c r="M59" i="45"/>
  <c r="AC58" i="45"/>
  <c r="AL58" i="45" s="1"/>
  <c r="Y58" i="45"/>
  <c r="V58" i="45"/>
  <c r="S58" i="45"/>
  <c r="P58" i="45"/>
  <c r="M58" i="45"/>
  <c r="AC57" i="45"/>
  <c r="AL57" i="45" s="1"/>
  <c r="Y57" i="45"/>
  <c r="V57" i="45"/>
  <c r="S57" i="45"/>
  <c r="P57" i="45"/>
  <c r="M57" i="45"/>
  <c r="AC56" i="45"/>
  <c r="AL56" i="45" s="1"/>
  <c r="Y56" i="45"/>
  <c r="V56" i="45"/>
  <c r="S56" i="45"/>
  <c r="P56" i="45"/>
  <c r="M56" i="45"/>
  <c r="AC55" i="45"/>
  <c r="AL55" i="45" s="1"/>
  <c r="Y55" i="45"/>
  <c r="V55" i="45"/>
  <c r="S55" i="45"/>
  <c r="P55" i="45"/>
  <c r="M55" i="45"/>
  <c r="AC54" i="45"/>
  <c r="AL54" i="45" s="1"/>
  <c r="Y54" i="45"/>
  <c r="V54" i="45"/>
  <c r="S54" i="45"/>
  <c r="P54" i="45"/>
  <c r="M54" i="45"/>
  <c r="AC53" i="45"/>
  <c r="AL53" i="45" s="1"/>
  <c r="Y53" i="45"/>
  <c r="V53" i="45"/>
  <c r="S53" i="45"/>
  <c r="P53" i="45"/>
  <c r="M53" i="45"/>
  <c r="AC52" i="45"/>
  <c r="AL52" i="45" s="1"/>
  <c r="Y52" i="45"/>
  <c r="V52" i="45"/>
  <c r="S52" i="45"/>
  <c r="P52" i="45"/>
  <c r="M52" i="45"/>
  <c r="AC51" i="45"/>
  <c r="AL51" i="45" s="1"/>
  <c r="Y51" i="45"/>
  <c r="V51" i="45"/>
  <c r="S51" i="45"/>
  <c r="P51" i="45"/>
  <c r="M51" i="45"/>
  <c r="AC50" i="45"/>
  <c r="AL50" i="45" s="1"/>
  <c r="Y50" i="45"/>
  <c r="V50" i="45"/>
  <c r="P50" i="45"/>
  <c r="M50" i="45"/>
  <c r="AC49" i="45"/>
  <c r="AL49" i="45" s="1"/>
  <c r="Y49" i="45"/>
  <c r="V49" i="45"/>
  <c r="S49" i="45"/>
  <c r="P49" i="45"/>
  <c r="M49" i="45"/>
  <c r="AC48" i="45"/>
  <c r="AL48" i="45" s="1"/>
  <c r="Y48" i="45"/>
  <c r="V48" i="45"/>
  <c r="S48" i="45"/>
  <c r="P48" i="45"/>
  <c r="M48" i="45"/>
  <c r="AC47" i="45"/>
  <c r="AL47" i="45" s="1"/>
  <c r="Y47" i="45"/>
  <c r="V47" i="45"/>
  <c r="S47" i="45"/>
  <c r="P47" i="45"/>
  <c r="M47" i="45"/>
  <c r="AC46" i="45"/>
  <c r="AL46" i="45" s="1"/>
  <c r="Y46" i="45"/>
  <c r="V46" i="45"/>
  <c r="S46" i="45"/>
  <c r="P46" i="45"/>
  <c r="M46" i="45"/>
  <c r="AC45" i="45"/>
  <c r="AL45" i="45" s="1"/>
  <c r="Y45" i="45"/>
  <c r="V45" i="45"/>
  <c r="S45" i="45"/>
  <c r="P45" i="45"/>
  <c r="M45" i="45"/>
  <c r="AC44" i="45"/>
  <c r="AL44" i="45" s="1"/>
  <c r="Y44" i="45"/>
  <c r="V44" i="45"/>
  <c r="S44" i="45"/>
  <c r="P44" i="45"/>
  <c r="M44" i="45"/>
  <c r="AC43" i="45"/>
  <c r="AL43" i="45" s="1"/>
  <c r="Y43" i="45"/>
  <c r="V43" i="45"/>
  <c r="S43" i="45"/>
  <c r="P43" i="45"/>
  <c r="M43" i="45"/>
  <c r="AC42" i="45"/>
  <c r="AL42" i="45" s="1"/>
  <c r="Y42" i="45"/>
  <c r="V42" i="45"/>
  <c r="S42" i="45"/>
  <c r="P42" i="45"/>
  <c r="M42" i="45"/>
  <c r="AC41" i="45"/>
  <c r="AL41" i="45" s="1"/>
  <c r="Y41" i="45"/>
  <c r="V41" i="45"/>
  <c r="S41" i="45"/>
  <c r="P41" i="45"/>
  <c r="M41" i="45"/>
  <c r="AC40" i="45"/>
  <c r="AL40" i="45" s="1"/>
  <c r="Y40" i="45"/>
  <c r="V40" i="45"/>
  <c r="S40" i="45"/>
  <c r="P40" i="45"/>
  <c r="M40" i="45"/>
  <c r="AC39" i="45"/>
  <c r="AL39" i="45" s="1"/>
  <c r="Y39" i="45"/>
  <c r="V39" i="45"/>
  <c r="S39" i="45"/>
  <c r="P39" i="45"/>
  <c r="M39" i="45"/>
  <c r="AC38" i="45"/>
  <c r="AL38" i="45" s="1"/>
  <c r="Y38" i="45"/>
  <c r="V38" i="45"/>
  <c r="S38" i="45"/>
  <c r="P38" i="45"/>
  <c r="M38" i="45"/>
  <c r="AC37" i="45"/>
  <c r="AL37" i="45" s="1"/>
  <c r="Y37" i="45"/>
  <c r="V37" i="45"/>
  <c r="S37" i="45"/>
  <c r="P37" i="45"/>
  <c r="M37" i="45"/>
  <c r="AC36" i="45"/>
  <c r="AL36" i="45" s="1"/>
  <c r="Y36" i="45"/>
  <c r="V36" i="45"/>
  <c r="S36" i="45"/>
  <c r="P36" i="45"/>
  <c r="M36" i="45"/>
  <c r="AC35" i="45"/>
  <c r="AL35" i="45" s="1"/>
  <c r="Y35" i="45"/>
  <c r="V35" i="45"/>
  <c r="S35" i="45"/>
  <c r="P35" i="45"/>
  <c r="M35" i="45"/>
  <c r="AC34" i="45"/>
  <c r="AL34" i="45" s="1"/>
  <c r="Y34" i="45"/>
  <c r="V34" i="45"/>
  <c r="S34" i="45"/>
  <c r="P34" i="45"/>
  <c r="M34" i="45"/>
  <c r="AC33" i="45"/>
  <c r="AL33" i="45" s="1"/>
  <c r="Y33" i="45"/>
  <c r="V33" i="45"/>
  <c r="S33" i="45"/>
  <c r="P33" i="45"/>
  <c r="M33" i="45"/>
  <c r="AC32" i="45"/>
  <c r="AL32" i="45" s="1"/>
  <c r="Y32" i="45"/>
  <c r="V32" i="45"/>
  <c r="S32" i="45"/>
  <c r="P32" i="45"/>
  <c r="M32" i="45"/>
  <c r="AC31" i="45"/>
  <c r="AL31" i="45" s="1"/>
  <c r="Y31" i="45"/>
  <c r="V31" i="45"/>
  <c r="S31" i="45"/>
  <c r="P31" i="45"/>
  <c r="M31" i="45"/>
  <c r="AC30" i="45"/>
  <c r="AL30" i="45" s="1"/>
  <c r="Y30" i="45"/>
  <c r="V30" i="45"/>
  <c r="S30" i="45"/>
  <c r="P30" i="45"/>
  <c r="M30" i="45"/>
  <c r="AC29" i="45"/>
  <c r="AL29" i="45" s="1"/>
  <c r="Y29" i="45"/>
  <c r="V29" i="45"/>
  <c r="S29" i="45"/>
  <c r="P29" i="45"/>
  <c r="M29" i="45"/>
  <c r="AC28" i="45"/>
  <c r="AL28" i="45" s="1"/>
  <c r="Y28" i="45"/>
  <c r="V28" i="45"/>
  <c r="S28" i="45"/>
  <c r="M28" i="45"/>
  <c r="AC27" i="45"/>
  <c r="AL27" i="45" s="1"/>
  <c r="Y27" i="45"/>
  <c r="V27" i="45"/>
  <c r="S27" i="45"/>
  <c r="P27" i="45"/>
  <c r="M27" i="45"/>
  <c r="AC26" i="45"/>
  <c r="AL26" i="45" s="1"/>
  <c r="Y26" i="45"/>
  <c r="V26" i="45"/>
  <c r="S26" i="45"/>
  <c r="P26" i="45"/>
  <c r="M26" i="45"/>
  <c r="AC25" i="45"/>
  <c r="AL25" i="45" s="1"/>
  <c r="Y25" i="45"/>
  <c r="V25" i="45"/>
  <c r="S25" i="45"/>
  <c r="P25" i="45"/>
  <c r="M25" i="45"/>
  <c r="AC24" i="45"/>
  <c r="AL24" i="45" s="1"/>
  <c r="Y24" i="45"/>
  <c r="V24" i="45"/>
  <c r="S24" i="45"/>
  <c r="P24" i="45"/>
  <c r="M24" i="45"/>
  <c r="AC23" i="45"/>
  <c r="AL23" i="45" s="1"/>
  <c r="Y23" i="45"/>
  <c r="V23" i="45"/>
  <c r="S23" i="45"/>
  <c r="P23" i="45"/>
  <c r="M23" i="45"/>
  <c r="AC22" i="45"/>
  <c r="AL22" i="45" s="1"/>
  <c r="Y22" i="45"/>
  <c r="V22" i="45"/>
  <c r="S22" i="45"/>
  <c r="P22" i="45"/>
  <c r="M22" i="45"/>
  <c r="AC21" i="45"/>
  <c r="AL21" i="45" s="1"/>
  <c r="Y21" i="45"/>
  <c r="V21" i="45"/>
  <c r="S21" i="45"/>
  <c r="P21" i="45"/>
  <c r="M21" i="45"/>
  <c r="AC20" i="45"/>
  <c r="AL20" i="45" s="1"/>
  <c r="Y20" i="45"/>
  <c r="V20" i="45"/>
  <c r="S20" i="45"/>
  <c r="P20" i="45"/>
  <c r="M20" i="45"/>
  <c r="AC19" i="45"/>
  <c r="AL19" i="45" s="1"/>
  <c r="Y19" i="45"/>
  <c r="V19" i="45"/>
  <c r="S19" i="45"/>
  <c r="P19" i="45"/>
  <c r="M19" i="45"/>
  <c r="AC18" i="45"/>
  <c r="AL18" i="45" s="1"/>
  <c r="Y18" i="45"/>
  <c r="V18" i="45"/>
  <c r="S18" i="45"/>
  <c r="P18" i="45"/>
  <c r="M18" i="45"/>
  <c r="AC17" i="45"/>
  <c r="AL17" i="45" s="1"/>
  <c r="Y17" i="45"/>
  <c r="V17" i="45"/>
  <c r="S17" i="45"/>
  <c r="P17" i="45"/>
  <c r="M17" i="45"/>
  <c r="AC16" i="45"/>
  <c r="AL16" i="45" s="1"/>
  <c r="Y16" i="45"/>
  <c r="V16" i="45"/>
  <c r="S16" i="45"/>
  <c r="P16" i="45"/>
  <c r="M16" i="45"/>
  <c r="AC15" i="45"/>
  <c r="AL15" i="45" s="1"/>
  <c r="Y15" i="45"/>
  <c r="V15" i="45"/>
  <c r="S15" i="45"/>
  <c r="P15" i="45"/>
  <c r="M15" i="45"/>
  <c r="AC14" i="45"/>
  <c r="AL14" i="45" s="1"/>
  <c r="Y14" i="45"/>
  <c r="V14" i="45"/>
  <c r="S14" i="45"/>
  <c r="P14" i="45"/>
  <c r="M14" i="45"/>
  <c r="AC13" i="45"/>
  <c r="AL13" i="45" s="1"/>
  <c r="Y13" i="45"/>
  <c r="V13" i="45"/>
  <c r="S13" i="45"/>
  <c r="P13" i="45"/>
  <c r="M13" i="45"/>
  <c r="AC12" i="45"/>
  <c r="AL12" i="45" s="1"/>
  <c r="Y12" i="45"/>
  <c r="V12" i="45"/>
  <c r="S12" i="45"/>
  <c r="P12" i="45"/>
  <c r="M12" i="45"/>
  <c r="AC11" i="45"/>
  <c r="AL11" i="45" s="1"/>
  <c r="Y11" i="45"/>
  <c r="V11" i="45"/>
  <c r="S11" i="45"/>
  <c r="P11" i="45"/>
  <c r="M11" i="45"/>
  <c r="AC10" i="45"/>
  <c r="AL10" i="45" s="1"/>
  <c r="Y10" i="45"/>
  <c r="V10" i="45"/>
  <c r="S10" i="45"/>
  <c r="P10" i="45"/>
  <c r="M10" i="45"/>
  <c r="AC9" i="45"/>
  <c r="AL9" i="45" s="1"/>
  <c r="Y9" i="45"/>
  <c r="V9" i="45"/>
  <c r="S9" i="45"/>
  <c r="P9" i="45"/>
  <c r="M9" i="45"/>
  <c r="AC8" i="45"/>
  <c r="AL8" i="45" s="1"/>
  <c r="Y8" i="45"/>
  <c r="V8" i="45"/>
  <c r="S8" i="45"/>
  <c r="P8" i="45"/>
  <c r="M8" i="45"/>
  <c r="AC7" i="45"/>
  <c r="AL7" i="45" s="1"/>
  <c r="Y7" i="45"/>
  <c r="V7" i="45"/>
  <c r="S7" i="45"/>
  <c r="P7" i="45"/>
  <c r="M7" i="45"/>
  <c r="AC6" i="45"/>
  <c r="AL6" i="45" s="1"/>
  <c r="Y6" i="45"/>
  <c r="V6" i="45"/>
  <c r="S6" i="45"/>
  <c r="P6" i="45"/>
  <c r="M6" i="45"/>
  <c r="AC5" i="45"/>
  <c r="AL5" i="45" s="1"/>
  <c r="Y5" i="45"/>
  <c r="V5" i="45"/>
  <c r="S5" i="45"/>
  <c r="P5" i="45"/>
  <c r="M5" i="45"/>
  <c r="AC4" i="45"/>
  <c r="AL4" i="45" s="1"/>
  <c r="Y4" i="45"/>
  <c r="V4" i="45"/>
  <c r="S4" i="45"/>
  <c r="P4" i="45"/>
  <c r="M4" i="45"/>
  <c r="AC3" i="45"/>
  <c r="AL3" i="45" s="1"/>
  <c r="Y3" i="45"/>
  <c r="V3" i="45"/>
  <c r="S3" i="45"/>
  <c r="P3" i="45"/>
  <c r="M3" i="45"/>
  <c r="AC2" i="45"/>
  <c r="AL2" i="45" s="1"/>
  <c r="Y2" i="45"/>
  <c r="V2" i="45"/>
  <c r="S2" i="45"/>
  <c r="P2" i="45"/>
  <c r="M2" i="45"/>
  <c r="D23" i="50" l="1"/>
  <c r="D30" i="50" s="1"/>
  <c r="D17" i="50"/>
  <c r="E23" i="50"/>
  <c r="E30" i="50" s="1"/>
  <c r="C22" i="50"/>
  <c r="C29" i="50" s="1"/>
  <c r="E22" i="50"/>
  <c r="E29" i="50" s="1"/>
  <c r="F24" i="50"/>
  <c r="F23" i="50"/>
  <c r="K23" i="50"/>
  <c r="K30" i="50" s="1"/>
  <c r="C17" i="50"/>
  <c r="N22" i="50"/>
  <c r="N29" i="50" s="1"/>
  <c r="N23" i="50"/>
  <c r="N30" i="50" s="1"/>
  <c r="O17" i="50"/>
  <c r="N17" i="50"/>
  <c r="K22" i="50"/>
  <c r="K29" i="50" s="1"/>
  <c r="G17" i="50"/>
  <c r="I23" i="50"/>
  <c r="I30" i="50" s="1"/>
  <c r="H23" i="50"/>
  <c r="H30" i="50" s="1"/>
  <c r="J23" i="50"/>
  <c r="H22" i="50"/>
  <c r="H29" i="50" s="1"/>
  <c r="I22" i="50"/>
  <c r="I29" i="50" s="1"/>
  <c r="J22" i="50"/>
  <c r="E17" i="50"/>
  <c r="F17" i="50"/>
  <c r="D24" i="50"/>
  <c r="E24" i="50"/>
  <c r="C23" i="50"/>
  <c r="C30" i="50" s="1"/>
  <c r="C24" i="50"/>
  <c r="L22" i="50"/>
  <c r="L29" i="50" s="1"/>
  <c r="M22" i="50"/>
  <c r="O22" i="50"/>
  <c r="O29" i="50" s="1"/>
  <c r="G24" i="50"/>
  <c r="J17" i="50"/>
  <c r="J24" i="50"/>
  <c r="I24" i="50"/>
  <c r="H24" i="50"/>
  <c r="K17" i="50"/>
  <c r="G23" i="50"/>
  <c r="G30" i="50" s="1"/>
  <c r="G22" i="50"/>
  <c r="G29" i="50" s="1"/>
  <c r="L23" i="50"/>
  <c r="L30" i="50" s="1"/>
  <c r="I17" i="50"/>
  <c r="O24" i="50"/>
  <c r="N24" i="50"/>
  <c r="P17" i="50"/>
  <c r="P24" i="50"/>
  <c r="P23" i="50"/>
  <c r="M17" i="50"/>
  <c r="M24" i="50"/>
  <c r="L24" i="50"/>
  <c r="K24" i="50"/>
  <c r="L17" i="50"/>
  <c r="L22" i="49"/>
  <c r="L29" i="49" s="1"/>
  <c r="P22" i="49"/>
  <c r="G17" i="49"/>
  <c r="G22" i="49"/>
  <c r="G29" i="49" s="1"/>
  <c r="H22" i="49"/>
  <c r="H29" i="49" s="1"/>
  <c r="K23" i="49"/>
  <c r="K30" i="49" s="1"/>
  <c r="I17" i="49"/>
  <c r="D23" i="49"/>
  <c r="D30" i="49" s="1"/>
  <c r="E23" i="49"/>
  <c r="E30" i="49" s="1"/>
  <c r="D22" i="49"/>
  <c r="D29" i="49" s="1"/>
  <c r="F23" i="49"/>
  <c r="E22" i="49"/>
  <c r="E29" i="49" s="1"/>
  <c r="E17" i="49"/>
  <c r="F22" i="49"/>
  <c r="C17" i="49"/>
  <c r="O24" i="49"/>
  <c r="N24" i="49"/>
  <c r="P17" i="49"/>
  <c r="P24" i="49"/>
  <c r="P23" i="49"/>
  <c r="N17" i="49"/>
  <c r="O23" i="49"/>
  <c r="O30" i="49" s="1"/>
  <c r="O17" i="49"/>
  <c r="N23" i="49"/>
  <c r="N30" i="49" s="1"/>
  <c r="M17" i="49"/>
  <c r="M23" i="49"/>
  <c r="L17" i="49"/>
  <c r="M22" i="49"/>
  <c r="H24" i="49"/>
  <c r="G24" i="49"/>
  <c r="M24" i="49"/>
  <c r="J17" i="49"/>
  <c r="L24" i="49"/>
  <c r="K24" i="49"/>
  <c r="J24" i="49"/>
  <c r="I24" i="49"/>
  <c r="L23" i="49"/>
  <c r="L30" i="49" s="1"/>
  <c r="J23" i="49"/>
  <c r="I22" i="49"/>
  <c r="I29" i="49" s="1"/>
  <c r="I23" i="49"/>
  <c r="I30" i="49" s="1"/>
  <c r="F24" i="49"/>
  <c r="E24" i="49"/>
  <c r="D24" i="49"/>
  <c r="C24" i="49"/>
  <c r="F17" i="49"/>
  <c r="K17" i="49"/>
  <c r="J22" i="49"/>
  <c r="G23" i="49"/>
  <c r="G30" i="49" s="1"/>
  <c r="O22" i="49"/>
  <c r="O29" i="49" s="1"/>
  <c r="C22" i="49"/>
  <c r="C29" i="49" s="1"/>
  <c r="C23" i="49"/>
  <c r="C30" i="49" s="1"/>
  <c r="K22" i="49"/>
  <c r="K29" i="49" s="1"/>
  <c r="H23" i="49"/>
  <c r="H30" i="49" s="1"/>
  <c r="P23" i="48"/>
  <c r="P17" i="48"/>
  <c r="N23" i="48"/>
  <c r="N30" i="48" s="1"/>
  <c r="N24" i="48"/>
  <c r="O24" i="48"/>
  <c r="O17" i="48"/>
  <c r="O22" i="48"/>
  <c r="O29" i="48" s="1"/>
  <c r="P24" i="48"/>
  <c r="N22" i="48"/>
  <c r="N29" i="48" s="1"/>
  <c r="N17" i="48"/>
  <c r="P22" i="48"/>
  <c r="I17" i="48"/>
  <c r="G22" i="48"/>
  <c r="G29" i="48" s="1"/>
  <c r="G23" i="48"/>
  <c r="G30" i="48" s="1"/>
  <c r="H17" i="48"/>
  <c r="G17" i="48"/>
  <c r="I23" i="48"/>
  <c r="I30" i="48" s="1"/>
  <c r="H22" i="48"/>
  <c r="H29" i="48" s="1"/>
  <c r="J22" i="48"/>
  <c r="E40" i="48"/>
  <c r="E45" i="48" s="1"/>
  <c r="M17" i="48"/>
  <c r="K24" i="48"/>
  <c r="M24" i="48"/>
  <c r="L24" i="48"/>
  <c r="K17" i="48"/>
  <c r="L17" i="48"/>
  <c r="C23" i="48"/>
  <c r="C30" i="48" s="1"/>
  <c r="C22" i="48"/>
  <c r="C29" i="48" s="1"/>
  <c r="K23" i="48"/>
  <c r="K30" i="48" s="1"/>
  <c r="D23" i="48"/>
  <c r="D30" i="48" s="1"/>
  <c r="K22" i="48"/>
  <c r="K29" i="48" s="1"/>
  <c r="D22" i="48"/>
  <c r="D29" i="48" s="1"/>
  <c r="D17" i="48"/>
  <c r="L23" i="48"/>
  <c r="L30" i="48" s="1"/>
  <c r="E23" i="48"/>
  <c r="E30" i="48" s="1"/>
  <c r="L22" i="48"/>
  <c r="L29" i="48" s="1"/>
  <c r="E22" i="48"/>
  <c r="E29" i="48" s="1"/>
  <c r="I24" i="48"/>
  <c r="H24" i="48"/>
  <c r="G24" i="48"/>
  <c r="J17" i="48"/>
  <c r="J24" i="48"/>
  <c r="H23" i="48"/>
  <c r="H30" i="48" s="1"/>
  <c r="J23" i="48"/>
  <c r="E62" i="48"/>
  <c r="C67" i="48" s="1"/>
  <c r="C74" i="48" s="1"/>
  <c r="M23" i="48"/>
  <c r="F23" i="48"/>
  <c r="M22" i="48"/>
  <c r="F17" i="48"/>
  <c r="F24" i="48"/>
  <c r="E24" i="48"/>
  <c r="D24" i="48"/>
  <c r="C24" i="48"/>
  <c r="C17" i="48"/>
  <c r="E17" i="48"/>
  <c r="P16" i="46"/>
  <c r="I16" i="46"/>
  <c r="G16" i="46"/>
  <c r="N16" i="46"/>
  <c r="P15" i="46"/>
  <c r="P10" i="46"/>
  <c r="P22" i="46" s="1"/>
  <c r="N15" i="46"/>
  <c r="O23" i="46"/>
  <c r="O30" i="46" s="1"/>
  <c r="L15" i="46"/>
  <c r="C15" i="46"/>
  <c r="E15" i="46"/>
  <c r="M16" i="46"/>
  <c r="C16" i="46"/>
  <c r="J10" i="46"/>
  <c r="G23" i="46" s="1"/>
  <c r="G30" i="46" s="1"/>
  <c r="J15" i="46"/>
  <c r="P24" i="46"/>
  <c r="K16" i="46"/>
  <c r="H15" i="46"/>
  <c r="L16" i="46"/>
  <c r="F16" i="46"/>
  <c r="E16" i="46"/>
  <c r="F10" i="46"/>
  <c r="C23" i="46" s="1"/>
  <c r="C30" i="46" s="1"/>
  <c r="F15" i="46"/>
  <c r="I15" i="46"/>
  <c r="M10" i="46"/>
  <c r="M15" i="46"/>
  <c r="O22" i="46"/>
  <c r="O29" i="46" s="1"/>
  <c r="J9" i="40"/>
  <c r="J8" i="40"/>
  <c r="J9" i="42"/>
  <c r="J8" i="42"/>
  <c r="J9" i="37"/>
  <c r="J8" i="37"/>
  <c r="J9" i="41"/>
  <c r="J8" i="41"/>
  <c r="J9" i="44"/>
  <c r="J8" i="44"/>
  <c r="J9" i="39"/>
  <c r="J8" i="39"/>
  <c r="J9" i="43"/>
  <c r="J8" i="43"/>
  <c r="J9" i="26"/>
  <c r="J8" i="26"/>
  <c r="N33" i="50" l="1"/>
  <c r="D33" i="50"/>
  <c r="D34" i="50" s="1"/>
  <c r="N34" i="50"/>
  <c r="K33" i="50"/>
  <c r="K34" i="50" s="1"/>
  <c r="G33" i="50"/>
  <c r="G34" i="50" s="1"/>
  <c r="K33" i="49"/>
  <c r="K34" i="49" s="1"/>
  <c r="N34" i="49"/>
  <c r="G33" i="49"/>
  <c r="G34" i="49" s="1"/>
  <c r="D33" i="49"/>
  <c r="D34" i="49" s="1"/>
  <c r="N34" i="48"/>
  <c r="G33" i="48"/>
  <c r="G34" i="48" s="1"/>
  <c r="D45" i="48"/>
  <c r="D52" i="48" s="1"/>
  <c r="D66" i="48"/>
  <c r="D73" i="48" s="1"/>
  <c r="C66" i="48"/>
  <c r="C73" i="48" s="1"/>
  <c r="D33" i="48"/>
  <c r="D34" i="48" s="1"/>
  <c r="E66" i="48"/>
  <c r="E67" i="48"/>
  <c r="C46" i="48"/>
  <c r="E46" i="48"/>
  <c r="D46" i="48"/>
  <c r="D44" i="48"/>
  <c r="D51" i="48" s="1"/>
  <c r="C44" i="48"/>
  <c r="C51" i="48" s="1"/>
  <c r="C68" i="48"/>
  <c r="E68" i="48"/>
  <c r="D68" i="48"/>
  <c r="E44" i="48"/>
  <c r="C45" i="48"/>
  <c r="C52" i="48" s="1"/>
  <c r="K33" i="48"/>
  <c r="K34" i="48" s="1"/>
  <c r="D67" i="48"/>
  <c r="D74" i="48" s="1"/>
  <c r="P23" i="46"/>
  <c r="N17" i="46"/>
  <c r="O24" i="46"/>
  <c r="N22" i="46"/>
  <c r="N29" i="46" s="1"/>
  <c r="N23" i="46"/>
  <c r="N30" i="46" s="1"/>
  <c r="P17" i="46"/>
  <c r="O17" i="46"/>
  <c r="N24" i="46"/>
  <c r="I23" i="46"/>
  <c r="I30" i="46" s="1"/>
  <c r="I22" i="46"/>
  <c r="I29" i="46" s="1"/>
  <c r="I17" i="46"/>
  <c r="F17" i="46"/>
  <c r="F24" i="46"/>
  <c r="E24" i="46"/>
  <c r="D24" i="46"/>
  <c r="C24" i="46"/>
  <c r="C17" i="46"/>
  <c r="D23" i="46"/>
  <c r="D30" i="46" s="1"/>
  <c r="I24" i="46"/>
  <c r="H24" i="46"/>
  <c r="G24" i="46"/>
  <c r="J17" i="46"/>
  <c r="J24" i="46"/>
  <c r="J23" i="46"/>
  <c r="M17" i="46"/>
  <c r="M24" i="46"/>
  <c r="L24" i="46"/>
  <c r="K24" i="46"/>
  <c r="K17" i="46"/>
  <c r="D22" i="46"/>
  <c r="D29" i="46" s="1"/>
  <c r="E23" i="46"/>
  <c r="E30" i="46" s="1"/>
  <c r="G22" i="46"/>
  <c r="G29" i="46" s="1"/>
  <c r="C22" i="46"/>
  <c r="C29" i="46" s="1"/>
  <c r="K22" i="46"/>
  <c r="K29" i="46" s="1"/>
  <c r="E22" i="46"/>
  <c r="E29" i="46" s="1"/>
  <c r="F23" i="46"/>
  <c r="L22" i="46"/>
  <c r="L29" i="46" s="1"/>
  <c r="F22" i="46"/>
  <c r="K23" i="46"/>
  <c r="K30" i="46" s="1"/>
  <c r="M22" i="46"/>
  <c r="H23" i="46"/>
  <c r="H30" i="46" s="1"/>
  <c r="H22" i="46"/>
  <c r="H29" i="46" s="1"/>
  <c r="L23" i="46"/>
  <c r="L30" i="46" s="1"/>
  <c r="D17" i="46"/>
  <c r="L17" i="46"/>
  <c r="M23" i="46"/>
  <c r="E17" i="46"/>
  <c r="G17" i="46"/>
  <c r="H17" i="46"/>
  <c r="J22" i="46"/>
  <c r="K33" i="20"/>
  <c r="K9" i="20"/>
  <c r="K8" i="20"/>
  <c r="K33" i="19"/>
  <c r="K9" i="19"/>
  <c r="K8" i="19"/>
  <c r="K33" i="18"/>
  <c r="K9" i="18"/>
  <c r="K8" i="18"/>
  <c r="K33" i="15"/>
  <c r="K9" i="15"/>
  <c r="K8" i="15"/>
  <c r="K33" i="14"/>
  <c r="K9" i="14"/>
  <c r="K8" i="14"/>
  <c r="K33" i="36"/>
  <c r="K9" i="36"/>
  <c r="K8" i="36"/>
  <c r="K33" i="35"/>
  <c r="K9" i="35"/>
  <c r="K8" i="35"/>
  <c r="D77" i="48" l="1"/>
  <c r="D78" i="48" s="1"/>
  <c r="D55" i="48"/>
  <c r="D56" i="48" s="1"/>
  <c r="N33" i="46"/>
  <c r="N34" i="46" s="1"/>
  <c r="K33" i="46"/>
  <c r="K34" i="46" s="1"/>
  <c r="D33" i="46"/>
  <c r="D34" i="46" s="1"/>
  <c r="G33" i="46"/>
  <c r="G34" i="46" s="1"/>
  <c r="N9" i="44" l="1"/>
  <c r="N8" i="44"/>
  <c r="M9" i="44"/>
  <c r="M8" i="44"/>
  <c r="K9" i="44"/>
  <c r="K8" i="44"/>
  <c r="H9" i="44"/>
  <c r="H8" i="44"/>
  <c r="G9" i="44"/>
  <c r="G8" i="44"/>
  <c r="E8" i="44"/>
  <c r="D9" i="44"/>
  <c r="D8" i="44"/>
  <c r="C9" i="44"/>
  <c r="C8" i="44"/>
  <c r="E9" i="44"/>
  <c r="N9" i="43"/>
  <c r="N8" i="43"/>
  <c r="M9" i="43"/>
  <c r="M8" i="43"/>
  <c r="K9" i="43"/>
  <c r="K8" i="43"/>
  <c r="H9" i="42"/>
  <c r="H9" i="43"/>
  <c r="H8" i="43"/>
  <c r="G9" i="43"/>
  <c r="G8" i="43"/>
  <c r="E9" i="43"/>
  <c r="E8" i="43"/>
  <c r="D9" i="43"/>
  <c r="D8" i="43"/>
  <c r="C9" i="43"/>
  <c r="C8" i="43"/>
  <c r="N9" i="42"/>
  <c r="N8" i="42"/>
  <c r="M9" i="42"/>
  <c r="M8" i="42"/>
  <c r="K9" i="42"/>
  <c r="K8" i="42"/>
  <c r="H8" i="42"/>
  <c r="G9" i="42"/>
  <c r="G8" i="42"/>
  <c r="E9" i="42"/>
  <c r="E8" i="42"/>
  <c r="D9" i="42"/>
  <c r="D8" i="42"/>
  <c r="C9" i="42"/>
  <c r="C8" i="42"/>
  <c r="N9" i="41"/>
  <c r="N8" i="41"/>
  <c r="M9" i="41"/>
  <c r="M8" i="41"/>
  <c r="K9" i="41"/>
  <c r="K8" i="41"/>
  <c r="H9" i="41"/>
  <c r="H8" i="41"/>
  <c r="G9" i="41"/>
  <c r="G8" i="41"/>
  <c r="E9" i="41"/>
  <c r="E8" i="41"/>
  <c r="D9" i="41"/>
  <c r="D8" i="41"/>
  <c r="C9" i="41"/>
  <c r="C8" i="41"/>
  <c r="N9" i="40"/>
  <c r="N8" i="40"/>
  <c r="M9" i="40"/>
  <c r="M8" i="40"/>
  <c r="K9" i="40"/>
  <c r="K8" i="40"/>
  <c r="H9" i="40"/>
  <c r="H8" i="40"/>
  <c r="G9" i="40"/>
  <c r="G8" i="40"/>
  <c r="E9" i="40"/>
  <c r="E8" i="40"/>
  <c r="D9" i="40"/>
  <c r="D8" i="40"/>
  <c r="C9" i="40"/>
  <c r="C8" i="40"/>
  <c r="N9" i="39"/>
  <c r="N8" i="39"/>
  <c r="M9" i="39"/>
  <c r="M8" i="39"/>
  <c r="K9" i="39"/>
  <c r="K8" i="39"/>
  <c r="H9" i="39"/>
  <c r="H8" i="39"/>
  <c r="G9" i="39"/>
  <c r="G8" i="39"/>
  <c r="E9" i="39"/>
  <c r="E8" i="39"/>
  <c r="D9" i="39"/>
  <c r="D8" i="39"/>
  <c r="C9" i="39"/>
  <c r="C8" i="39"/>
  <c r="O9" i="44" l="1"/>
  <c r="N16" i="44" s="1"/>
  <c r="O8" i="44"/>
  <c r="I8" i="44"/>
  <c r="H15" i="44" s="1"/>
  <c r="D10" i="44"/>
  <c r="K10" i="44"/>
  <c r="E10" i="44"/>
  <c r="F8" i="44"/>
  <c r="E15" i="44" s="1"/>
  <c r="L8" i="44"/>
  <c r="K15" i="44" s="1"/>
  <c r="F9" i="44"/>
  <c r="E16" i="44" s="1"/>
  <c r="L9" i="44"/>
  <c r="J16" i="44" s="1"/>
  <c r="G10" i="44"/>
  <c r="M10" i="44"/>
  <c r="M16" i="44"/>
  <c r="N10" i="44"/>
  <c r="H10" i="44"/>
  <c r="I9" i="44"/>
  <c r="H16" i="44" s="1"/>
  <c r="C10" i="44"/>
  <c r="J10" i="44"/>
  <c r="O9" i="43"/>
  <c r="O16" i="43" s="1"/>
  <c r="O8" i="43"/>
  <c r="N15" i="43" s="1"/>
  <c r="L9" i="43"/>
  <c r="J16" i="43" s="1"/>
  <c r="I8" i="43"/>
  <c r="H15" i="43" s="1"/>
  <c r="D10" i="43"/>
  <c r="K10" i="43"/>
  <c r="C10" i="43"/>
  <c r="E10" i="43"/>
  <c r="J10" i="43"/>
  <c r="F8" i="43"/>
  <c r="E15" i="43" s="1"/>
  <c r="L8" i="43"/>
  <c r="J15" i="43" s="1"/>
  <c r="F9" i="43"/>
  <c r="C16" i="43" s="1"/>
  <c r="G10" i="43"/>
  <c r="M10" i="43"/>
  <c r="N10" i="43"/>
  <c r="H10" i="43"/>
  <c r="I9" i="43"/>
  <c r="G16" i="43" s="1"/>
  <c r="O9" i="42"/>
  <c r="O16" i="42" s="1"/>
  <c r="O8" i="42"/>
  <c r="L9" i="42"/>
  <c r="J16" i="42" s="1"/>
  <c r="I8" i="42"/>
  <c r="H15" i="42" s="1"/>
  <c r="D10" i="42"/>
  <c r="K10" i="42"/>
  <c r="E10" i="42"/>
  <c r="F8" i="42"/>
  <c r="E15" i="42" s="1"/>
  <c r="L8" i="42"/>
  <c r="J15" i="42" s="1"/>
  <c r="F9" i="42"/>
  <c r="C16" i="42" s="1"/>
  <c r="C10" i="42"/>
  <c r="G10" i="42"/>
  <c r="M10" i="42"/>
  <c r="J10" i="42"/>
  <c r="N10" i="42"/>
  <c r="H10" i="42"/>
  <c r="I9" i="42"/>
  <c r="O9" i="41"/>
  <c r="M16" i="41" s="1"/>
  <c r="O8" i="41"/>
  <c r="N15" i="41" s="1"/>
  <c r="I8" i="41"/>
  <c r="G15" i="41" s="1"/>
  <c r="D10" i="41"/>
  <c r="E10" i="41"/>
  <c r="K10" i="41"/>
  <c r="F8" i="41"/>
  <c r="D15" i="41" s="1"/>
  <c r="L8" i="41"/>
  <c r="K15" i="41" s="1"/>
  <c r="F9" i="41"/>
  <c r="D16" i="41" s="1"/>
  <c r="L9" i="41"/>
  <c r="G10" i="41"/>
  <c r="M10" i="41"/>
  <c r="N10" i="41"/>
  <c r="H10" i="41"/>
  <c r="I9" i="41"/>
  <c r="G16" i="41" s="1"/>
  <c r="C10" i="41"/>
  <c r="J10" i="41"/>
  <c r="O9" i="40"/>
  <c r="N16" i="40" s="1"/>
  <c r="O8" i="40"/>
  <c r="N15" i="40" s="1"/>
  <c r="I8" i="40"/>
  <c r="G15" i="40" s="1"/>
  <c r="D10" i="40"/>
  <c r="K10" i="40"/>
  <c r="E10" i="40"/>
  <c r="F8" i="40"/>
  <c r="D15" i="40" s="1"/>
  <c r="L8" i="40"/>
  <c r="K15" i="40" s="1"/>
  <c r="F9" i="40"/>
  <c r="L9" i="40"/>
  <c r="G10" i="40"/>
  <c r="M10" i="40"/>
  <c r="N10" i="40"/>
  <c r="H10" i="40"/>
  <c r="I9" i="40"/>
  <c r="H16" i="40" s="1"/>
  <c r="C10" i="40"/>
  <c r="J10" i="40"/>
  <c r="O9" i="39"/>
  <c r="M16" i="39" s="1"/>
  <c r="O8" i="39"/>
  <c r="M15" i="39" s="1"/>
  <c r="I8" i="39"/>
  <c r="H15" i="39" s="1"/>
  <c r="D10" i="39"/>
  <c r="K10" i="39"/>
  <c r="E10" i="39"/>
  <c r="F8" i="39"/>
  <c r="C15" i="39" s="1"/>
  <c r="L8" i="39"/>
  <c r="F9" i="39"/>
  <c r="C16" i="39" s="1"/>
  <c r="L9" i="39"/>
  <c r="G10" i="39"/>
  <c r="M10" i="39"/>
  <c r="N10" i="39"/>
  <c r="H10" i="39"/>
  <c r="I9" i="39"/>
  <c r="H16" i="39" s="1"/>
  <c r="C10" i="39"/>
  <c r="J10" i="39"/>
  <c r="N9" i="37"/>
  <c r="N8" i="37"/>
  <c r="M9" i="37"/>
  <c r="M8" i="37"/>
  <c r="K9" i="37"/>
  <c r="K8" i="37"/>
  <c r="H9" i="37"/>
  <c r="H8" i="37"/>
  <c r="G9" i="37"/>
  <c r="G8" i="37"/>
  <c r="E9" i="37"/>
  <c r="E8" i="37"/>
  <c r="D9" i="37"/>
  <c r="D8" i="37"/>
  <c r="C9" i="37"/>
  <c r="C8" i="37"/>
  <c r="O15" i="41" l="1"/>
  <c r="N15" i="39"/>
  <c r="O16" i="44"/>
  <c r="M15" i="41"/>
  <c r="O10" i="44"/>
  <c r="O23" i="44" s="1"/>
  <c r="N15" i="44"/>
  <c r="O15" i="44"/>
  <c r="M15" i="44"/>
  <c r="J15" i="44"/>
  <c r="G15" i="44"/>
  <c r="I15" i="44"/>
  <c r="I10" i="44"/>
  <c r="H22" i="44" s="1"/>
  <c r="H29" i="44" s="1"/>
  <c r="D15" i="44"/>
  <c r="C15" i="44"/>
  <c r="C16" i="44"/>
  <c r="G16" i="44"/>
  <c r="F16" i="44"/>
  <c r="L15" i="44"/>
  <c r="L10" i="44"/>
  <c r="L16" i="44"/>
  <c r="I16" i="44"/>
  <c r="F15" i="44"/>
  <c r="F10" i="44"/>
  <c r="F23" i="44" s="1"/>
  <c r="K16" i="44"/>
  <c r="D16" i="44"/>
  <c r="M16" i="43"/>
  <c r="N16" i="43"/>
  <c r="O10" i="43"/>
  <c r="M24" i="43" s="1"/>
  <c r="O15" i="43"/>
  <c r="M15" i="43"/>
  <c r="L16" i="43"/>
  <c r="K16" i="43"/>
  <c r="I15" i="43"/>
  <c r="G15" i="43"/>
  <c r="H16" i="43"/>
  <c r="D15" i="43"/>
  <c r="I16" i="43"/>
  <c r="I10" i="43"/>
  <c r="F16" i="43"/>
  <c r="E16" i="43"/>
  <c r="L15" i="43"/>
  <c r="L10" i="43"/>
  <c r="J22" i="43"/>
  <c r="J29" i="43" s="1"/>
  <c r="D16" i="43"/>
  <c r="F15" i="43"/>
  <c r="F10" i="43"/>
  <c r="C17" i="43" s="1"/>
  <c r="K15" i="43"/>
  <c r="C15" i="43"/>
  <c r="N16" i="42"/>
  <c r="M16" i="42"/>
  <c r="O10" i="42"/>
  <c r="O22" i="42" s="1"/>
  <c r="O15" i="42"/>
  <c r="M15" i="42"/>
  <c r="N15" i="42"/>
  <c r="K16" i="42"/>
  <c r="L16" i="42"/>
  <c r="I15" i="42"/>
  <c r="G15" i="42"/>
  <c r="E16" i="42"/>
  <c r="I16" i="42"/>
  <c r="G16" i="42"/>
  <c r="F16" i="42"/>
  <c r="D16" i="42"/>
  <c r="I10" i="42"/>
  <c r="H17" i="42" s="1"/>
  <c r="H16" i="42"/>
  <c r="L15" i="42"/>
  <c r="L10" i="42"/>
  <c r="K15" i="42"/>
  <c r="F15" i="42"/>
  <c r="F10" i="42"/>
  <c r="E17" i="42" s="1"/>
  <c r="D15" i="42"/>
  <c r="C15" i="42"/>
  <c r="O16" i="41"/>
  <c r="N16" i="41"/>
  <c r="O10" i="41"/>
  <c r="N23" i="41" s="1"/>
  <c r="N30" i="41" s="1"/>
  <c r="H15" i="41"/>
  <c r="I15" i="41"/>
  <c r="I10" i="41"/>
  <c r="I17" i="41" s="1"/>
  <c r="H16" i="41"/>
  <c r="C16" i="41"/>
  <c r="E15" i="41"/>
  <c r="C15" i="41"/>
  <c r="F16" i="41"/>
  <c r="I16" i="41"/>
  <c r="L15" i="41"/>
  <c r="L10" i="41"/>
  <c r="L16" i="41"/>
  <c r="K16" i="41"/>
  <c r="F15" i="41"/>
  <c r="F10" i="41"/>
  <c r="E22" i="41" s="1"/>
  <c r="E29" i="41" s="1"/>
  <c r="E16" i="41"/>
  <c r="J15" i="41"/>
  <c r="J16" i="41"/>
  <c r="M16" i="40"/>
  <c r="O16" i="40"/>
  <c r="O10" i="40"/>
  <c r="O23" i="40" s="1"/>
  <c r="O15" i="40"/>
  <c r="M15" i="40"/>
  <c r="K16" i="40"/>
  <c r="J15" i="40"/>
  <c r="H15" i="40"/>
  <c r="I15" i="40"/>
  <c r="G16" i="40"/>
  <c r="I10" i="40"/>
  <c r="G22" i="40" s="1"/>
  <c r="G29" i="40" s="1"/>
  <c r="E15" i="40"/>
  <c r="C15" i="40"/>
  <c r="L16" i="40"/>
  <c r="J16" i="40"/>
  <c r="F16" i="40"/>
  <c r="L15" i="40"/>
  <c r="L10" i="40"/>
  <c r="K22" i="40" s="1"/>
  <c r="K29" i="40" s="1"/>
  <c r="I16" i="40"/>
  <c r="F15" i="40"/>
  <c r="F10" i="40"/>
  <c r="C16" i="40"/>
  <c r="E16" i="40"/>
  <c r="D16" i="40"/>
  <c r="O16" i="39"/>
  <c r="N16" i="39"/>
  <c r="O10" i="39"/>
  <c r="O23" i="39" s="1"/>
  <c r="O15" i="39"/>
  <c r="I15" i="39"/>
  <c r="G15" i="39"/>
  <c r="I10" i="39"/>
  <c r="H22" i="39" s="1"/>
  <c r="H29" i="39" s="1"/>
  <c r="D16" i="39"/>
  <c r="E15" i="39"/>
  <c r="L16" i="39"/>
  <c r="E16" i="39"/>
  <c r="I16" i="39"/>
  <c r="F15" i="39"/>
  <c r="F10" i="39"/>
  <c r="E22" i="39" s="1"/>
  <c r="E29" i="39" s="1"/>
  <c r="F16" i="39"/>
  <c r="L15" i="39"/>
  <c r="L10" i="39"/>
  <c r="K16" i="39"/>
  <c r="J16" i="39"/>
  <c r="K15" i="39"/>
  <c r="J15" i="39"/>
  <c r="O24" i="39"/>
  <c r="N24" i="39"/>
  <c r="G16" i="39"/>
  <c r="D15" i="39"/>
  <c r="M23" i="39"/>
  <c r="M30" i="39" s="1"/>
  <c r="O9" i="37"/>
  <c r="M16" i="37" s="1"/>
  <c r="O8" i="37"/>
  <c r="N15" i="37" s="1"/>
  <c r="I8" i="37"/>
  <c r="I15" i="37" s="1"/>
  <c r="D10" i="37"/>
  <c r="K10" i="37"/>
  <c r="E10" i="37"/>
  <c r="F8" i="37"/>
  <c r="E15" i="37" s="1"/>
  <c r="L8" i="37"/>
  <c r="F9" i="37"/>
  <c r="L9" i="37"/>
  <c r="K16" i="37" s="1"/>
  <c r="G10" i="37"/>
  <c r="M10" i="37"/>
  <c r="N10" i="37"/>
  <c r="H10" i="37"/>
  <c r="I9" i="37"/>
  <c r="G16" i="37" s="1"/>
  <c r="C10" i="37"/>
  <c r="J10" i="37"/>
  <c r="N9" i="26"/>
  <c r="N8" i="26"/>
  <c r="M9" i="26"/>
  <c r="M8" i="26"/>
  <c r="K9" i="26"/>
  <c r="K8" i="26"/>
  <c r="H9" i="26"/>
  <c r="H8" i="26"/>
  <c r="G9" i="26"/>
  <c r="G8" i="26"/>
  <c r="E9" i="26"/>
  <c r="E8" i="26"/>
  <c r="D9" i="26"/>
  <c r="D8" i="26"/>
  <c r="C9" i="26"/>
  <c r="C8" i="26"/>
  <c r="I22" i="40" l="1"/>
  <c r="G15" i="37"/>
  <c r="M22" i="41"/>
  <c r="M29" i="41" s="1"/>
  <c r="N22" i="39"/>
  <c r="N29" i="39" s="1"/>
  <c r="O22" i="39"/>
  <c r="H22" i="40"/>
  <c r="H29" i="40" s="1"/>
  <c r="C22" i="42"/>
  <c r="C29" i="42" s="1"/>
  <c r="K23" i="42"/>
  <c r="K30" i="42" s="1"/>
  <c r="O17" i="41"/>
  <c r="O23" i="41"/>
  <c r="N17" i="41"/>
  <c r="M17" i="41"/>
  <c r="N22" i="41"/>
  <c r="N29" i="41" s="1"/>
  <c r="L22" i="44"/>
  <c r="L23" i="44"/>
  <c r="O23" i="43"/>
  <c r="H23" i="41"/>
  <c r="H30" i="41" s="1"/>
  <c r="G33" i="41" s="1"/>
  <c r="G34" i="41" s="1"/>
  <c r="G22" i="41"/>
  <c r="G29" i="41" s="1"/>
  <c r="G23" i="41"/>
  <c r="G30" i="41" s="1"/>
  <c r="D15" i="37"/>
  <c r="J16" i="37"/>
  <c r="H23" i="40"/>
  <c r="H30" i="40" s="1"/>
  <c r="O17" i="44"/>
  <c r="M17" i="44"/>
  <c r="O24" i="44"/>
  <c r="O22" i="44"/>
  <c r="N22" i="44"/>
  <c r="N29" i="44" s="1"/>
  <c r="M22" i="44"/>
  <c r="M29" i="44" s="1"/>
  <c r="N24" i="44"/>
  <c r="M23" i="44"/>
  <c r="M30" i="44" s="1"/>
  <c r="N23" i="44"/>
  <c r="N30" i="44" s="1"/>
  <c r="M24" i="44"/>
  <c r="N17" i="44"/>
  <c r="K22" i="44"/>
  <c r="K29" i="44" s="1"/>
  <c r="G17" i="44"/>
  <c r="G24" i="44"/>
  <c r="I24" i="44"/>
  <c r="I17" i="44"/>
  <c r="G23" i="44"/>
  <c r="G30" i="44" s="1"/>
  <c r="H17" i="44"/>
  <c r="H23" i="44"/>
  <c r="H30" i="44" s="1"/>
  <c r="H24" i="44"/>
  <c r="I23" i="44"/>
  <c r="I22" i="44"/>
  <c r="G22" i="44"/>
  <c r="G29" i="44" s="1"/>
  <c r="E23" i="44"/>
  <c r="E30" i="44" s="1"/>
  <c r="D23" i="44"/>
  <c r="D30" i="44" s="1"/>
  <c r="C22" i="44"/>
  <c r="C29" i="44" s="1"/>
  <c r="E17" i="44"/>
  <c r="D22" i="44"/>
  <c r="D29" i="44" s="1"/>
  <c r="C23" i="44"/>
  <c r="C30" i="44" s="1"/>
  <c r="E22" i="44"/>
  <c r="E29" i="44" s="1"/>
  <c r="J24" i="44"/>
  <c r="L24" i="44"/>
  <c r="L17" i="44"/>
  <c r="K24" i="44"/>
  <c r="J23" i="44"/>
  <c r="J30" i="44" s="1"/>
  <c r="C24" i="44"/>
  <c r="F24" i="44"/>
  <c r="F17" i="44"/>
  <c r="D24" i="44"/>
  <c r="E24" i="44"/>
  <c r="J22" i="44"/>
  <c r="J29" i="44" s="1"/>
  <c r="J33" i="44" s="1"/>
  <c r="D17" i="44"/>
  <c r="C17" i="44"/>
  <c r="J17" i="44"/>
  <c r="F22" i="44"/>
  <c r="K23" i="44"/>
  <c r="K30" i="44" s="1"/>
  <c r="K17" i="44"/>
  <c r="N24" i="43"/>
  <c r="N17" i="43"/>
  <c r="M23" i="43"/>
  <c r="M30" i="43" s="1"/>
  <c r="O22" i="43"/>
  <c r="O24" i="43"/>
  <c r="M22" i="43"/>
  <c r="M29" i="43" s="1"/>
  <c r="N23" i="43"/>
  <c r="N30" i="43" s="1"/>
  <c r="M17" i="43"/>
  <c r="O17" i="43"/>
  <c r="N22" i="43"/>
  <c r="N29" i="43" s="1"/>
  <c r="H17" i="43"/>
  <c r="G23" i="43"/>
  <c r="G30" i="43" s="1"/>
  <c r="H23" i="43"/>
  <c r="H30" i="43" s="1"/>
  <c r="G17" i="43"/>
  <c r="I23" i="43"/>
  <c r="H22" i="43"/>
  <c r="H29" i="43" s="1"/>
  <c r="F22" i="43"/>
  <c r="C22" i="43"/>
  <c r="C29" i="43" s="1"/>
  <c r="E23" i="43"/>
  <c r="E30" i="43" s="1"/>
  <c r="E17" i="43"/>
  <c r="L24" i="43"/>
  <c r="L17" i="43"/>
  <c r="J24" i="43"/>
  <c r="K24" i="43"/>
  <c r="L23" i="43"/>
  <c r="J23" i="43"/>
  <c r="J30" i="43" s="1"/>
  <c r="F23" i="43"/>
  <c r="D22" i="43"/>
  <c r="D29" i="43" s="1"/>
  <c r="K23" i="43"/>
  <c r="K30" i="43" s="1"/>
  <c r="L22" i="43"/>
  <c r="D17" i="43"/>
  <c r="K17" i="43"/>
  <c r="E22" i="43"/>
  <c r="E29" i="43" s="1"/>
  <c r="I24" i="43"/>
  <c r="I17" i="43"/>
  <c r="H24" i="43"/>
  <c r="G24" i="43"/>
  <c r="I22" i="43"/>
  <c r="G22" i="43"/>
  <c r="G29" i="43" s="1"/>
  <c r="J17" i="43"/>
  <c r="F24" i="43"/>
  <c r="F17" i="43"/>
  <c r="C24" i="43"/>
  <c r="E24" i="43"/>
  <c r="D24" i="43"/>
  <c r="C23" i="43"/>
  <c r="C30" i="43" s="1"/>
  <c r="K22" i="43"/>
  <c r="K29" i="43" s="1"/>
  <c r="J33" i="43" s="1"/>
  <c r="D23" i="43"/>
  <c r="D30" i="43" s="1"/>
  <c r="M24" i="42"/>
  <c r="M17" i="42"/>
  <c r="N24" i="42"/>
  <c r="N17" i="42"/>
  <c r="N23" i="42"/>
  <c r="N30" i="42" s="1"/>
  <c r="O17" i="42"/>
  <c r="M22" i="42"/>
  <c r="M29" i="42" s="1"/>
  <c r="O24" i="42"/>
  <c r="M23" i="42"/>
  <c r="M30" i="42" s="1"/>
  <c r="O23" i="42"/>
  <c r="N22" i="42"/>
  <c r="N29" i="42" s="1"/>
  <c r="K22" i="42"/>
  <c r="K29" i="42" s="1"/>
  <c r="J22" i="42"/>
  <c r="J29" i="42" s="1"/>
  <c r="J33" i="42" s="1"/>
  <c r="L22" i="42"/>
  <c r="G23" i="42"/>
  <c r="G30" i="42" s="1"/>
  <c r="H23" i="42"/>
  <c r="H30" i="42" s="1"/>
  <c r="G17" i="42"/>
  <c r="G22" i="42"/>
  <c r="G29" i="42" s="1"/>
  <c r="D17" i="42"/>
  <c r="D23" i="42"/>
  <c r="D30" i="42" s="1"/>
  <c r="F22" i="42"/>
  <c r="J24" i="42"/>
  <c r="L24" i="42"/>
  <c r="L17" i="42"/>
  <c r="K24" i="42"/>
  <c r="L23" i="42"/>
  <c r="J23" i="42"/>
  <c r="J30" i="42" s="1"/>
  <c r="K17" i="42"/>
  <c r="E23" i="42"/>
  <c r="E30" i="42" s="1"/>
  <c r="J17" i="42"/>
  <c r="F23" i="42"/>
  <c r="D22" i="42"/>
  <c r="D29" i="42" s="1"/>
  <c r="I24" i="42"/>
  <c r="I17" i="42"/>
  <c r="H24" i="42"/>
  <c r="G24" i="42"/>
  <c r="I22" i="42"/>
  <c r="C23" i="42"/>
  <c r="C30" i="42" s="1"/>
  <c r="H22" i="42"/>
  <c r="H29" i="42" s="1"/>
  <c r="E22" i="42"/>
  <c r="E29" i="42" s="1"/>
  <c r="I23" i="42"/>
  <c r="F24" i="42"/>
  <c r="F17" i="42"/>
  <c r="E24" i="42"/>
  <c r="C24" i="42"/>
  <c r="D24" i="42"/>
  <c r="C17" i="42"/>
  <c r="O24" i="41"/>
  <c r="M24" i="41"/>
  <c r="N24" i="41"/>
  <c r="O22" i="41"/>
  <c r="M23" i="41"/>
  <c r="M30" i="41" s="1"/>
  <c r="M33" i="41" s="1"/>
  <c r="M34" i="41" s="1"/>
  <c r="L22" i="41"/>
  <c r="L23" i="41"/>
  <c r="J23" i="41"/>
  <c r="J30" i="41" s="1"/>
  <c r="K22" i="41"/>
  <c r="K29" i="41" s="1"/>
  <c r="G17" i="41"/>
  <c r="H22" i="41"/>
  <c r="H29" i="41" s="1"/>
  <c r="G24" i="41"/>
  <c r="I23" i="41"/>
  <c r="H17" i="41"/>
  <c r="I24" i="41"/>
  <c r="I22" i="41"/>
  <c r="H24" i="41"/>
  <c r="C24" i="41"/>
  <c r="F24" i="41"/>
  <c r="F17" i="41"/>
  <c r="D24" i="41"/>
  <c r="E24" i="41"/>
  <c r="F22" i="41"/>
  <c r="C23" i="41"/>
  <c r="C30" i="41" s="1"/>
  <c r="J24" i="41"/>
  <c r="K24" i="41"/>
  <c r="L24" i="41"/>
  <c r="L17" i="41"/>
  <c r="J17" i="41"/>
  <c r="K17" i="41"/>
  <c r="C22" i="41"/>
  <c r="C29" i="41" s="1"/>
  <c r="C17" i="41"/>
  <c r="E17" i="41"/>
  <c r="K23" i="41"/>
  <c r="K30" i="41" s="1"/>
  <c r="D17" i="41"/>
  <c r="E23" i="41"/>
  <c r="E30" i="41" s="1"/>
  <c r="D22" i="41"/>
  <c r="D29" i="41" s="1"/>
  <c r="J22" i="41"/>
  <c r="J29" i="41" s="1"/>
  <c r="J33" i="41" s="1"/>
  <c r="D23" i="41"/>
  <c r="D30" i="41" s="1"/>
  <c r="F23" i="41"/>
  <c r="O17" i="40"/>
  <c r="O24" i="40"/>
  <c r="N17" i="40"/>
  <c r="M23" i="40"/>
  <c r="M30" i="40" s="1"/>
  <c r="O22" i="40"/>
  <c r="M24" i="40"/>
  <c r="N22" i="40"/>
  <c r="N29" i="40" s="1"/>
  <c r="N23" i="40"/>
  <c r="N30" i="40" s="1"/>
  <c r="N24" i="40"/>
  <c r="M22" i="40"/>
  <c r="M29" i="40" s="1"/>
  <c r="M17" i="40"/>
  <c r="L22" i="40"/>
  <c r="J22" i="40"/>
  <c r="J29" i="40" s="1"/>
  <c r="K23" i="40"/>
  <c r="K30" i="40" s="1"/>
  <c r="J17" i="40"/>
  <c r="K17" i="40"/>
  <c r="L23" i="40"/>
  <c r="J23" i="40"/>
  <c r="J30" i="40" s="1"/>
  <c r="H17" i="40"/>
  <c r="G24" i="40"/>
  <c r="G17" i="40"/>
  <c r="G23" i="40"/>
  <c r="G30" i="40" s="1"/>
  <c r="I17" i="40"/>
  <c r="I24" i="40"/>
  <c r="I23" i="40"/>
  <c r="H24" i="40"/>
  <c r="C24" i="40"/>
  <c r="F24" i="40"/>
  <c r="F17" i="40"/>
  <c r="E24" i="40"/>
  <c r="D24" i="40"/>
  <c r="F22" i="40"/>
  <c r="D23" i="40"/>
  <c r="D30" i="40" s="1"/>
  <c r="C22" i="40"/>
  <c r="C29" i="40" s="1"/>
  <c r="E23" i="40"/>
  <c r="E30" i="40" s="1"/>
  <c r="E17" i="40"/>
  <c r="D17" i="40"/>
  <c r="J24" i="40"/>
  <c r="L24" i="40"/>
  <c r="L17" i="40"/>
  <c r="K24" i="40"/>
  <c r="F23" i="40"/>
  <c r="D22" i="40"/>
  <c r="D29" i="40" s="1"/>
  <c r="C23" i="40"/>
  <c r="C30" i="40" s="1"/>
  <c r="E22" i="40"/>
  <c r="E29" i="40" s="1"/>
  <c r="C17" i="40"/>
  <c r="M24" i="39"/>
  <c r="N17" i="39"/>
  <c r="O17" i="39"/>
  <c r="N23" i="39"/>
  <c r="N30" i="39" s="1"/>
  <c r="M22" i="39"/>
  <c r="M29" i="39" s="1"/>
  <c r="M33" i="39" s="1"/>
  <c r="M34" i="39" s="1"/>
  <c r="M17" i="39"/>
  <c r="G17" i="39"/>
  <c r="G23" i="39"/>
  <c r="G30" i="39" s="1"/>
  <c r="H24" i="39"/>
  <c r="G24" i="39"/>
  <c r="H23" i="39"/>
  <c r="H30" i="39" s="1"/>
  <c r="I24" i="39"/>
  <c r="I17" i="39"/>
  <c r="H17" i="39"/>
  <c r="G22" i="39"/>
  <c r="G29" i="39" s="1"/>
  <c r="I22" i="39"/>
  <c r="I23" i="39"/>
  <c r="C22" i="39"/>
  <c r="C29" i="39" s="1"/>
  <c r="F22" i="39"/>
  <c r="D23" i="39"/>
  <c r="D30" i="39" s="1"/>
  <c r="E17" i="39"/>
  <c r="E23" i="39"/>
  <c r="E30" i="39" s="1"/>
  <c r="D17" i="39"/>
  <c r="F23" i="39"/>
  <c r="D22" i="39"/>
  <c r="D29" i="39" s="1"/>
  <c r="C23" i="39"/>
  <c r="C30" i="39" s="1"/>
  <c r="J24" i="39"/>
  <c r="L24" i="39"/>
  <c r="L17" i="39"/>
  <c r="K24" i="39"/>
  <c r="J17" i="39"/>
  <c r="K23" i="39"/>
  <c r="K30" i="39" s="1"/>
  <c r="K17" i="39"/>
  <c r="L22" i="39"/>
  <c r="J22" i="39"/>
  <c r="J29" i="39" s="1"/>
  <c r="J33" i="39" s="1"/>
  <c r="L23" i="39"/>
  <c r="J23" i="39"/>
  <c r="J30" i="39" s="1"/>
  <c r="K22" i="39"/>
  <c r="K29" i="39" s="1"/>
  <c r="C24" i="39"/>
  <c r="F24" i="39"/>
  <c r="F17" i="39"/>
  <c r="E24" i="39"/>
  <c r="D24" i="39"/>
  <c r="C17" i="39"/>
  <c r="N16" i="37"/>
  <c r="O16" i="37"/>
  <c r="M15" i="37"/>
  <c r="O15" i="37"/>
  <c r="O10" i="37"/>
  <c r="H15" i="37"/>
  <c r="H16" i="37"/>
  <c r="L15" i="37"/>
  <c r="L10" i="37"/>
  <c r="F16" i="37"/>
  <c r="I16" i="37"/>
  <c r="F15" i="37"/>
  <c r="F10" i="37"/>
  <c r="C23" i="37" s="1"/>
  <c r="C30" i="37" s="1"/>
  <c r="J15" i="37"/>
  <c r="I10" i="37"/>
  <c r="I23" i="37" s="1"/>
  <c r="E16" i="37"/>
  <c r="D16" i="37"/>
  <c r="C15" i="37"/>
  <c r="L16" i="37"/>
  <c r="K15" i="37"/>
  <c r="C16" i="37"/>
  <c r="O9" i="26"/>
  <c r="N16" i="26" s="1"/>
  <c r="N10" i="26"/>
  <c r="O8" i="26"/>
  <c r="K10" i="26"/>
  <c r="L9" i="26"/>
  <c r="K16" i="26" s="1"/>
  <c r="L8" i="26"/>
  <c r="H10" i="26"/>
  <c r="I9" i="26"/>
  <c r="I8" i="26"/>
  <c r="E10" i="26"/>
  <c r="D10" i="26"/>
  <c r="F9" i="26"/>
  <c r="E16" i="26" s="1"/>
  <c r="F8" i="26"/>
  <c r="D15" i="26" s="1"/>
  <c r="P9" i="20"/>
  <c r="P8" i="20"/>
  <c r="O9" i="20"/>
  <c r="O8" i="20"/>
  <c r="N9" i="20"/>
  <c r="N8" i="20"/>
  <c r="L9" i="20"/>
  <c r="L8" i="20"/>
  <c r="I9" i="20"/>
  <c r="I8" i="20"/>
  <c r="H9" i="20"/>
  <c r="H8" i="20"/>
  <c r="G9" i="20"/>
  <c r="G8" i="20"/>
  <c r="E9" i="20"/>
  <c r="D9" i="20"/>
  <c r="C9" i="20"/>
  <c r="E8" i="20"/>
  <c r="D8" i="20"/>
  <c r="C8" i="20"/>
  <c r="P9" i="19"/>
  <c r="O9" i="19"/>
  <c r="N9" i="19"/>
  <c r="P8" i="19"/>
  <c r="O8" i="19"/>
  <c r="N8" i="19"/>
  <c r="L9" i="19"/>
  <c r="L8" i="19"/>
  <c r="I9" i="19"/>
  <c r="H9" i="19"/>
  <c r="G9" i="19"/>
  <c r="I8" i="19"/>
  <c r="H8" i="19"/>
  <c r="G8" i="19"/>
  <c r="E9" i="19"/>
  <c r="D9" i="19"/>
  <c r="C9" i="19"/>
  <c r="E8" i="19"/>
  <c r="D8" i="19"/>
  <c r="C8" i="19"/>
  <c r="J33" i="40" l="1"/>
  <c r="M33" i="43"/>
  <c r="M34" i="43" s="1"/>
  <c r="M16" i="26"/>
  <c r="G33" i="40"/>
  <c r="G34" i="40" s="1"/>
  <c r="I10" i="26"/>
  <c r="H22" i="26" s="1"/>
  <c r="H29" i="26" s="1"/>
  <c r="M33" i="44"/>
  <c r="M34" i="44" s="1"/>
  <c r="E15" i="26"/>
  <c r="C16" i="26"/>
  <c r="O15" i="26"/>
  <c r="N15" i="26"/>
  <c r="F15" i="26"/>
  <c r="O16" i="26"/>
  <c r="K15" i="26"/>
  <c r="L16" i="26"/>
  <c r="F10" i="26"/>
  <c r="E23" i="26"/>
  <c r="E30" i="26" s="1"/>
  <c r="F16" i="26"/>
  <c r="J16" i="26"/>
  <c r="L15" i="26"/>
  <c r="D16" i="26"/>
  <c r="E16" i="20"/>
  <c r="N16" i="20"/>
  <c r="P15" i="19"/>
  <c r="E16" i="19"/>
  <c r="O15" i="19"/>
  <c r="G33" i="44"/>
  <c r="G34" i="44" s="1"/>
  <c r="D33" i="44"/>
  <c r="D34" i="44" s="1"/>
  <c r="J34" i="44"/>
  <c r="J34" i="43"/>
  <c r="G33" i="43"/>
  <c r="G34" i="43" s="1"/>
  <c r="D33" i="43"/>
  <c r="D34" i="43" s="1"/>
  <c r="M33" i="42"/>
  <c r="M34" i="42" s="1"/>
  <c r="J34" i="42"/>
  <c r="G33" i="42"/>
  <c r="G34" i="42" s="1"/>
  <c r="D33" i="42"/>
  <c r="D34" i="42" s="1"/>
  <c r="J34" i="41"/>
  <c r="D33" i="41"/>
  <c r="D34" i="41" s="1"/>
  <c r="M33" i="40"/>
  <c r="M34" i="40" s="1"/>
  <c r="J34" i="40"/>
  <c r="D33" i="40"/>
  <c r="D34" i="40" s="1"/>
  <c r="G33" i="39"/>
  <c r="G34" i="39" s="1"/>
  <c r="D33" i="39"/>
  <c r="D34" i="39" s="1"/>
  <c r="J34" i="39"/>
  <c r="O17" i="37"/>
  <c r="O24" i="37"/>
  <c r="N17" i="37"/>
  <c r="M22" i="37"/>
  <c r="M29" i="37" s="1"/>
  <c r="O22" i="37"/>
  <c r="O23" i="37"/>
  <c r="M23" i="37"/>
  <c r="M30" i="37" s="1"/>
  <c r="M24" i="37"/>
  <c r="N22" i="37"/>
  <c r="N29" i="37" s="1"/>
  <c r="M17" i="37"/>
  <c r="N24" i="37"/>
  <c r="N23" i="37"/>
  <c r="N30" i="37" s="1"/>
  <c r="K22" i="37"/>
  <c r="K29" i="37" s="1"/>
  <c r="L22" i="37"/>
  <c r="J23" i="37"/>
  <c r="J30" i="37" s="1"/>
  <c r="J22" i="37"/>
  <c r="J29" i="37" s="1"/>
  <c r="K17" i="37"/>
  <c r="J17" i="37"/>
  <c r="K23" i="37"/>
  <c r="K30" i="37" s="1"/>
  <c r="L23" i="37"/>
  <c r="H17" i="37"/>
  <c r="G17" i="37"/>
  <c r="H23" i="37"/>
  <c r="H30" i="37" s="1"/>
  <c r="E17" i="37"/>
  <c r="D22" i="37"/>
  <c r="D29" i="37" s="1"/>
  <c r="E22" i="37"/>
  <c r="E29" i="37" s="1"/>
  <c r="F23" i="37"/>
  <c r="G23" i="37"/>
  <c r="G30" i="37" s="1"/>
  <c r="C24" i="37"/>
  <c r="F24" i="37"/>
  <c r="F17" i="37"/>
  <c r="E24" i="37"/>
  <c r="D24" i="37"/>
  <c r="C17" i="37"/>
  <c r="I24" i="37"/>
  <c r="I17" i="37"/>
  <c r="H24" i="37"/>
  <c r="G24" i="37"/>
  <c r="I22" i="37"/>
  <c r="F22" i="37"/>
  <c r="D23" i="37"/>
  <c r="D30" i="37" s="1"/>
  <c r="G22" i="37"/>
  <c r="G29" i="37" s="1"/>
  <c r="C22" i="37"/>
  <c r="C29" i="37" s="1"/>
  <c r="E23" i="37"/>
  <c r="E30" i="37" s="1"/>
  <c r="H22" i="37"/>
  <c r="H29" i="37" s="1"/>
  <c r="D17" i="37"/>
  <c r="J24" i="37"/>
  <c r="L24" i="37"/>
  <c r="L17" i="37"/>
  <c r="K24" i="37"/>
  <c r="O10" i="26"/>
  <c r="L10" i="26"/>
  <c r="L22" i="26" s="1"/>
  <c r="H24" i="26"/>
  <c r="H15" i="26"/>
  <c r="I15" i="26"/>
  <c r="I22" i="26"/>
  <c r="I23" i="26"/>
  <c r="H16" i="26"/>
  <c r="I16" i="26"/>
  <c r="G16" i="26"/>
  <c r="P10" i="20"/>
  <c r="Q9" i="20"/>
  <c r="O16" i="20" s="1"/>
  <c r="O10" i="20"/>
  <c r="Q8" i="20"/>
  <c r="P15" i="20" s="1"/>
  <c r="M9" i="20"/>
  <c r="L16" i="20" s="1"/>
  <c r="L10" i="20"/>
  <c r="M8" i="20"/>
  <c r="M15" i="20" s="1"/>
  <c r="I10" i="20"/>
  <c r="J9" i="20"/>
  <c r="H16" i="20" s="1"/>
  <c r="H10" i="20"/>
  <c r="J8" i="20"/>
  <c r="H15" i="20" s="1"/>
  <c r="E10" i="20"/>
  <c r="D10" i="20"/>
  <c r="F9" i="20"/>
  <c r="F8" i="20"/>
  <c r="P10" i="19"/>
  <c r="Q9" i="19"/>
  <c r="O16" i="19" s="1"/>
  <c r="O10" i="19"/>
  <c r="Q8" i="19"/>
  <c r="L10" i="19"/>
  <c r="M9" i="19"/>
  <c r="K16" i="19" s="1"/>
  <c r="M8" i="19"/>
  <c r="I10" i="19"/>
  <c r="H10" i="19"/>
  <c r="J9" i="19"/>
  <c r="I16" i="19" s="1"/>
  <c r="J8" i="19"/>
  <c r="I15" i="19" s="1"/>
  <c r="E10" i="19"/>
  <c r="D10" i="19"/>
  <c r="F9" i="19"/>
  <c r="F8" i="19"/>
  <c r="P9" i="18"/>
  <c r="P61" i="18" s="1"/>
  <c r="O9" i="18"/>
  <c r="P39" i="18" s="1"/>
  <c r="P40" i="18" s="1"/>
  <c r="N9" i="18"/>
  <c r="P8" i="18"/>
  <c r="P60" i="18" s="1"/>
  <c r="O8" i="18"/>
  <c r="P38" i="18" s="1"/>
  <c r="N8" i="18"/>
  <c r="L9" i="18"/>
  <c r="L8" i="18"/>
  <c r="I9" i="18"/>
  <c r="I61" i="18" s="1"/>
  <c r="H9" i="18"/>
  <c r="G9" i="18"/>
  <c r="I8" i="18"/>
  <c r="I60" i="18" s="1"/>
  <c r="I62" i="18" s="1"/>
  <c r="H8" i="18"/>
  <c r="G8" i="18"/>
  <c r="D8" i="18"/>
  <c r="E9" i="18"/>
  <c r="D9" i="18"/>
  <c r="C9" i="18"/>
  <c r="E8" i="18"/>
  <c r="C8" i="18"/>
  <c r="C61" i="15"/>
  <c r="C60" i="15"/>
  <c r="C62" i="15" s="1"/>
  <c r="D39" i="15"/>
  <c r="C39" i="15"/>
  <c r="C38" i="15"/>
  <c r="C40" i="15" s="1"/>
  <c r="P9" i="15"/>
  <c r="O9" i="15"/>
  <c r="N9" i="15"/>
  <c r="P8" i="15"/>
  <c r="O8" i="15"/>
  <c r="N8" i="15"/>
  <c r="L10" i="15"/>
  <c r="L9" i="15"/>
  <c r="M9" i="15"/>
  <c r="L8" i="15"/>
  <c r="K10" i="15"/>
  <c r="I9" i="15"/>
  <c r="H9" i="15"/>
  <c r="G9" i="15"/>
  <c r="I8" i="15"/>
  <c r="I10" i="15" s="1"/>
  <c r="H8" i="15"/>
  <c r="H10" i="15" s="1"/>
  <c r="G8" i="15"/>
  <c r="E9" i="15"/>
  <c r="D9" i="15"/>
  <c r="C9" i="15"/>
  <c r="E8" i="15"/>
  <c r="D60" i="15" s="1"/>
  <c r="D8" i="15"/>
  <c r="D38" i="15" s="1"/>
  <c r="C8" i="15"/>
  <c r="P9" i="14"/>
  <c r="O9" i="14"/>
  <c r="N9" i="14"/>
  <c r="P8" i="14"/>
  <c r="O8" i="14"/>
  <c r="N8" i="14"/>
  <c r="L9" i="14"/>
  <c r="L8" i="14"/>
  <c r="I9" i="14"/>
  <c r="H9" i="14"/>
  <c r="G9" i="14"/>
  <c r="I8" i="14"/>
  <c r="H8" i="14"/>
  <c r="G8" i="14"/>
  <c r="E9" i="14"/>
  <c r="D9" i="14"/>
  <c r="C9" i="14"/>
  <c r="E8" i="14"/>
  <c r="D8" i="14"/>
  <c r="C8" i="14"/>
  <c r="J33" i="37" l="1"/>
  <c r="H23" i="26"/>
  <c r="H30" i="26" s="1"/>
  <c r="H17" i="26"/>
  <c r="I24" i="26"/>
  <c r="I17" i="26"/>
  <c r="K23" i="26"/>
  <c r="K30" i="26" s="1"/>
  <c r="L23" i="26"/>
  <c r="K17" i="26"/>
  <c r="K22" i="26"/>
  <c r="K29" i="26" s="1"/>
  <c r="O22" i="26"/>
  <c r="D24" i="26"/>
  <c r="F17" i="26"/>
  <c r="E24" i="26"/>
  <c r="F24" i="26"/>
  <c r="N17" i="26"/>
  <c r="F22" i="26"/>
  <c r="N22" i="26"/>
  <c r="N29" i="26" s="1"/>
  <c r="D22" i="26"/>
  <c r="D29" i="26" s="1"/>
  <c r="N24" i="26"/>
  <c r="O24" i="26"/>
  <c r="O17" i="26"/>
  <c r="N23" i="26"/>
  <c r="N30" i="26" s="1"/>
  <c r="E22" i="26"/>
  <c r="E29" i="26" s="1"/>
  <c r="E17" i="26"/>
  <c r="O23" i="26"/>
  <c r="D23" i="26"/>
  <c r="D30" i="26" s="1"/>
  <c r="L17" i="26"/>
  <c r="L24" i="26"/>
  <c r="K24" i="26"/>
  <c r="F23" i="26"/>
  <c r="D17" i="26"/>
  <c r="K16" i="20"/>
  <c r="L15" i="20"/>
  <c r="O15" i="20"/>
  <c r="F16" i="20"/>
  <c r="C16" i="20"/>
  <c r="L23" i="20"/>
  <c r="L30" i="20" s="1"/>
  <c r="J16" i="20"/>
  <c r="M10" i="20"/>
  <c r="M17" i="20" s="1"/>
  <c r="M16" i="20"/>
  <c r="J10" i="20"/>
  <c r="I23" i="20" s="1"/>
  <c r="I30" i="20" s="1"/>
  <c r="Q15" i="20"/>
  <c r="H22" i="20"/>
  <c r="H29" i="20" s="1"/>
  <c r="J22" i="20"/>
  <c r="J15" i="20"/>
  <c r="O17" i="20"/>
  <c r="I16" i="20"/>
  <c r="G16" i="20"/>
  <c r="H17" i="20"/>
  <c r="P16" i="20"/>
  <c r="Q16" i="20"/>
  <c r="D16" i="20"/>
  <c r="I15" i="20"/>
  <c r="F15" i="20"/>
  <c r="E15" i="20"/>
  <c r="D15" i="20"/>
  <c r="O17" i="19"/>
  <c r="H15" i="19"/>
  <c r="C16" i="19"/>
  <c r="F16" i="19"/>
  <c r="M16" i="19"/>
  <c r="J16" i="19"/>
  <c r="H16" i="19"/>
  <c r="N16" i="19"/>
  <c r="F15" i="19"/>
  <c r="E15" i="19"/>
  <c r="D22" i="19"/>
  <c r="D29" i="19" s="1"/>
  <c r="D15" i="19"/>
  <c r="J10" i="19"/>
  <c r="H22" i="19"/>
  <c r="H29" i="19" s="1"/>
  <c r="I22" i="19"/>
  <c r="I29" i="19" s="1"/>
  <c r="J15" i="19"/>
  <c r="P16" i="19"/>
  <c r="Q16" i="19"/>
  <c r="Q23" i="19"/>
  <c r="M15" i="19"/>
  <c r="L15" i="19"/>
  <c r="Q22" i="19"/>
  <c r="O22" i="19"/>
  <c r="O29" i="19" s="1"/>
  <c r="Q15" i="19"/>
  <c r="D16" i="19"/>
  <c r="G16" i="19"/>
  <c r="L16" i="19"/>
  <c r="Q61" i="18"/>
  <c r="O38" i="18"/>
  <c r="O60" i="18"/>
  <c r="H38" i="18"/>
  <c r="H60" i="18"/>
  <c r="H39" i="18"/>
  <c r="H40" i="18" s="1"/>
  <c r="H61" i="18"/>
  <c r="J61" i="18" s="1"/>
  <c r="P62" i="18"/>
  <c r="O61" i="18"/>
  <c r="O39" i="18"/>
  <c r="N16" i="15"/>
  <c r="M10" i="15"/>
  <c r="K23" i="15" s="1"/>
  <c r="K30" i="15" s="1"/>
  <c r="D40" i="15"/>
  <c r="I16" i="15"/>
  <c r="L17" i="15"/>
  <c r="L16" i="15"/>
  <c r="M16" i="15"/>
  <c r="L23" i="15"/>
  <c r="L30" i="15" s="1"/>
  <c r="E38" i="15"/>
  <c r="D61" i="15"/>
  <c r="K16" i="15"/>
  <c r="E39" i="15"/>
  <c r="P15" i="15"/>
  <c r="O15" i="15"/>
  <c r="I10" i="14"/>
  <c r="J8" i="14"/>
  <c r="J10" i="14" s="1"/>
  <c r="H10" i="14"/>
  <c r="J9" i="14"/>
  <c r="J16" i="14"/>
  <c r="I16" i="14"/>
  <c r="H16" i="14"/>
  <c r="G16" i="14"/>
  <c r="I15" i="14"/>
  <c r="M33" i="37"/>
  <c r="M34" i="37" s="1"/>
  <c r="J34" i="37"/>
  <c r="G33" i="37"/>
  <c r="G34" i="37" s="1"/>
  <c r="D33" i="37"/>
  <c r="D34" i="37" s="1"/>
  <c r="Q10" i="20"/>
  <c r="O23" i="20" s="1"/>
  <c r="O30" i="20" s="1"/>
  <c r="F10" i="20"/>
  <c r="D23" i="20" s="1"/>
  <c r="D30" i="20" s="1"/>
  <c r="Q10" i="19"/>
  <c r="O23" i="19" s="1"/>
  <c r="O30" i="19" s="1"/>
  <c r="M10" i="19"/>
  <c r="M23" i="19" s="1"/>
  <c r="F10" i="19"/>
  <c r="I39" i="18"/>
  <c r="I15" i="18"/>
  <c r="I38" i="18"/>
  <c r="I40" i="18" s="1"/>
  <c r="P10" i="18"/>
  <c r="O10" i="18"/>
  <c r="Q9" i="18"/>
  <c r="Q8" i="18"/>
  <c r="O15" i="18" s="1"/>
  <c r="L10" i="18"/>
  <c r="M9" i="18"/>
  <c r="M8" i="18"/>
  <c r="I10" i="18"/>
  <c r="H10" i="18"/>
  <c r="J9" i="18"/>
  <c r="J8" i="18"/>
  <c r="H15" i="18" s="1"/>
  <c r="D10" i="18"/>
  <c r="E10" i="18"/>
  <c r="F9" i="18"/>
  <c r="F8" i="18"/>
  <c r="D15" i="18" s="1"/>
  <c r="E60" i="15"/>
  <c r="E61" i="15"/>
  <c r="P10" i="15"/>
  <c r="Q9" i="15"/>
  <c r="O10" i="15"/>
  <c r="Q8" i="15"/>
  <c r="M8" i="15"/>
  <c r="J9" i="15"/>
  <c r="H16" i="15" s="1"/>
  <c r="J8" i="15"/>
  <c r="G10" i="15"/>
  <c r="E10" i="15"/>
  <c r="D10" i="15"/>
  <c r="F9" i="15"/>
  <c r="F8" i="15"/>
  <c r="P10" i="14"/>
  <c r="Q9" i="14"/>
  <c r="P16" i="14" s="1"/>
  <c r="Q8" i="14"/>
  <c r="P15" i="14" s="1"/>
  <c r="O10" i="14"/>
  <c r="M9" i="14"/>
  <c r="L10" i="14"/>
  <c r="M8" i="14"/>
  <c r="E10" i="14"/>
  <c r="D10" i="14"/>
  <c r="F9" i="14"/>
  <c r="C16" i="14" s="1"/>
  <c r="F8" i="14"/>
  <c r="P16" i="36"/>
  <c r="Q9" i="36"/>
  <c r="Q16" i="36" s="1"/>
  <c r="P9" i="36"/>
  <c r="O9" i="36"/>
  <c r="N9" i="36"/>
  <c r="N16" i="36" s="1"/>
  <c r="P8" i="36"/>
  <c r="P10" i="36" s="1"/>
  <c r="O8" i="36"/>
  <c r="O10" i="36" s="1"/>
  <c r="N8" i="36"/>
  <c r="Q8" i="36" s="1"/>
  <c r="I8" i="36"/>
  <c r="I10" i="36" s="1"/>
  <c r="H8" i="36"/>
  <c r="H10" i="36" s="1"/>
  <c r="I9" i="36"/>
  <c r="H9" i="36"/>
  <c r="G9" i="36"/>
  <c r="J9" i="36" s="1"/>
  <c r="G8" i="36"/>
  <c r="L9" i="36"/>
  <c r="L8" i="36"/>
  <c r="E9" i="36"/>
  <c r="D9" i="36"/>
  <c r="C9" i="36"/>
  <c r="E8" i="36"/>
  <c r="D8" i="36"/>
  <c r="C8" i="36"/>
  <c r="N32" i="36"/>
  <c r="G32" i="36"/>
  <c r="P9" i="35"/>
  <c r="O9" i="35"/>
  <c r="N9" i="35"/>
  <c r="P8" i="35"/>
  <c r="O8" i="35"/>
  <c r="N8" i="35"/>
  <c r="Q8" i="35" s="1"/>
  <c r="L9" i="35"/>
  <c r="L8" i="35"/>
  <c r="M8" i="35" s="1"/>
  <c r="I9" i="35"/>
  <c r="H9" i="35"/>
  <c r="G9" i="35"/>
  <c r="I8" i="35"/>
  <c r="H8" i="35"/>
  <c r="G8" i="35"/>
  <c r="E9" i="35"/>
  <c r="D9" i="35"/>
  <c r="C9" i="35"/>
  <c r="E8" i="35"/>
  <c r="D8" i="35"/>
  <c r="C8" i="35"/>
  <c r="N32" i="35"/>
  <c r="G32" i="35"/>
  <c r="E22" i="20" l="1"/>
  <c r="E29" i="20" s="1"/>
  <c r="Q23" i="20"/>
  <c r="L22" i="20"/>
  <c r="L29" i="20" s="1"/>
  <c r="Q22" i="20"/>
  <c r="P17" i="20"/>
  <c r="P23" i="20"/>
  <c r="P30" i="20" s="1"/>
  <c r="P22" i="20"/>
  <c r="P29" i="20" s="1"/>
  <c r="D17" i="20"/>
  <c r="D22" i="20"/>
  <c r="D29" i="20" s="1"/>
  <c r="I24" i="20"/>
  <c r="J24" i="20"/>
  <c r="L24" i="20"/>
  <c r="M24" i="20"/>
  <c r="J17" i="20"/>
  <c r="H24" i="20"/>
  <c r="H23" i="20"/>
  <c r="H30" i="20" s="1"/>
  <c r="E23" i="20"/>
  <c r="E30" i="20" s="1"/>
  <c r="I22" i="20"/>
  <c r="I29" i="20" s="1"/>
  <c r="J23" i="20"/>
  <c r="E24" i="20"/>
  <c r="F24" i="20"/>
  <c r="F17" i="20"/>
  <c r="D24" i="20"/>
  <c r="Q17" i="20"/>
  <c r="P24" i="20"/>
  <c r="O24" i="20"/>
  <c r="Q24" i="20"/>
  <c r="M22" i="20"/>
  <c r="E17" i="20"/>
  <c r="M23" i="20"/>
  <c r="F23" i="20"/>
  <c r="F22" i="20"/>
  <c r="O22" i="20"/>
  <c r="O29" i="20" s="1"/>
  <c r="L17" i="20"/>
  <c r="I17" i="20"/>
  <c r="D24" i="19"/>
  <c r="E24" i="19"/>
  <c r="F24" i="19"/>
  <c r="F17" i="19"/>
  <c r="P22" i="19"/>
  <c r="P29" i="19" s="1"/>
  <c r="I24" i="19"/>
  <c r="J24" i="19"/>
  <c r="J17" i="19"/>
  <c r="H24" i="19"/>
  <c r="L24" i="19"/>
  <c r="M24" i="19"/>
  <c r="M17" i="19"/>
  <c r="E17" i="19"/>
  <c r="P23" i="19"/>
  <c r="P30" i="19" s="1"/>
  <c r="L17" i="19"/>
  <c r="F23" i="19"/>
  <c r="H17" i="19"/>
  <c r="L22" i="19"/>
  <c r="L29" i="19" s="1"/>
  <c r="F22" i="19"/>
  <c r="I23" i="19"/>
  <c r="I30" i="19" s="1"/>
  <c r="L23" i="19"/>
  <c r="L30" i="19" s="1"/>
  <c r="Q24" i="19"/>
  <c r="Q17" i="19"/>
  <c r="P24" i="19"/>
  <c r="O24" i="19"/>
  <c r="J23" i="19"/>
  <c r="E23" i="19"/>
  <c r="E30" i="19" s="1"/>
  <c r="I17" i="19"/>
  <c r="D17" i="19"/>
  <c r="M22" i="19"/>
  <c r="J22" i="19"/>
  <c r="E22" i="19"/>
  <c r="E29" i="19" s="1"/>
  <c r="H23" i="19"/>
  <c r="H30" i="19" s="1"/>
  <c r="D23" i="19"/>
  <c r="D30" i="19" s="1"/>
  <c r="P17" i="19"/>
  <c r="Q39" i="18"/>
  <c r="O62" i="18"/>
  <c r="Q60" i="18"/>
  <c r="O40" i="18"/>
  <c r="Q38" i="18"/>
  <c r="J39" i="18"/>
  <c r="M23" i="15"/>
  <c r="K17" i="15"/>
  <c r="L22" i="15"/>
  <c r="L29" i="15" s="1"/>
  <c r="L15" i="15"/>
  <c r="M22" i="15"/>
  <c r="M15" i="15"/>
  <c r="C16" i="15"/>
  <c r="F16" i="15"/>
  <c r="C66" i="15"/>
  <c r="E16" i="15"/>
  <c r="P17" i="15"/>
  <c r="E15" i="15"/>
  <c r="F15" i="15"/>
  <c r="Q15" i="15"/>
  <c r="G17" i="15"/>
  <c r="J15" i="15"/>
  <c r="H15" i="15"/>
  <c r="J10" i="15"/>
  <c r="J22" i="15"/>
  <c r="I15" i="15"/>
  <c r="E40" i="15"/>
  <c r="E44" i="15"/>
  <c r="C44" i="15"/>
  <c r="C51" i="15" s="1"/>
  <c r="L24" i="15"/>
  <c r="M24" i="15"/>
  <c r="M17" i="15"/>
  <c r="K24" i="15"/>
  <c r="D15" i="15"/>
  <c r="D62" i="15"/>
  <c r="D67" i="15" s="1"/>
  <c r="D74" i="15" s="1"/>
  <c r="J23" i="15"/>
  <c r="G23" i="15"/>
  <c r="G30" i="15" s="1"/>
  <c r="J16" i="15"/>
  <c r="G16" i="15"/>
  <c r="P16" i="15"/>
  <c r="Q16" i="15"/>
  <c r="O16" i="15"/>
  <c r="D16" i="15"/>
  <c r="I17" i="14"/>
  <c r="J22" i="14"/>
  <c r="I23" i="14"/>
  <c r="I30" i="14" s="1"/>
  <c r="H23" i="14"/>
  <c r="H30" i="14" s="1"/>
  <c r="H15" i="14"/>
  <c r="J15" i="14"/>
  <c r="I22" i="14"/>
  <c r="I29" i="14" s="1"/>
  <c r="O16" i="14"/>
  <c r="F10" i="14"/>
  <c r="E24" i="14" s="1"/>
  <c r="O15" i="14"/>
  <c r="H22" i="14"/>
  <c r="H29" i="14" s="1"/>
  <c r="M15" i="14"/>
  <c r="L15" i="14"/>
  <c r="Q15" i="14"/>
  <c r="J24" i="14"/>
  <c r="I24" i="14"/>
  <c r="J17" i="14"/>
  <c r="H24" i="14"/>
  <c r="M16" i="14"/>
  <c r="L16" i="14"/>
  <c r="Q16" i="14"/>
  <c r="H17" i="14"/>
  <c r="N16" i="14"/>
  <c r="J23" i="14"/>
  <c r="K16" i="14"/>
  <c r="J16" i="36"/>
  <c r="I16" i="36"/>
  <c r="H16" i="36"/>
  <c r="Q15" i="36"/>
  <c r="O16" i="36"/>
  <c r="G16" i="36"/>
  <c r="P15" i="36"/>
  <c r="H15" i="36"/>
  <c r="O15" i="36"/>
  <c r="E16" i="36"/>
  <c r="H10" i="35"/>
  <c r="P10" i="35"/>
  <c r="J8" i="35"/>
  <c r="H15" i="35" s="1"/>
  <c r="L10" i="35"/>
  <c r="M15" i="35"/>
  <c r="J15" i="35"/>
  <c r="P15" i="35"/>
  <c r="O15" i="35"/>
  <c r="Q15" i="35"/>
  <c r="F8" i="35"/>
  <c r="E15" i="35" s="1"/>
  <c r="I10" i="35"/>
  <c r="M9" i="35"/>
  <c r="L15" i="35"/>
  <c r="O10" i="35"/>
  <c r="J9" i="35"/>
  <c r="G16" i="35" s="1"/>
  <c r="I15" i="35"/>
  <c r="Q9" i="35"/>
  <c r="P16" i="35" s="1"/>
  <c r="J16" i="18"/>
  <c r="I23" i="18"/>
  <c r="I30" i="18" s="1"/>
  <c r="Q16" i="18"/>
  <c r="G16" i="18"/>
  <c r="I16" i="18"/>
  <c r="E15" i="18"/>
  <c r="F10" i="18"/>
  <c r="D22" i="18" s="1"/>
  <c r="D29" i="18" s="1"/>
  <c r="F15" i="18"/>
  <c r="M15" i="18"/>
  <c r="O16" i="18"/>
  <c r="N16" i="18"/>
  <c r="F16" i="18"/>
  <c r="M16" i="18"/>
  <c r="L16" i="18"/>
  <c r="H16" i="18"/>
  <c r="C16" i="18"/>
  <c r="D16" i="18"/>
  <c r="E16" i="18"/>
  <c r="J38" i="18"/>
  <c r="P16" i="18"/>
  <c r="K16" i="18"/>
  <c r="J60" i="18"/>
  <c r="J15" i="18"/>
  <c r="Q15" i="18"/>
  <c r="H62" i="18"/>
  <c r="P15" i="18"/>
  <c r="L15" i="18"/>
  <c r="Q10" i="18"/>
  <c r="O17" i="18" s="1"/>
  <c r="M10" i="18"/>
  <c r="J10" i="18"/>
  <c r="I17" i="18" s="1"/>
  <c r="E67" i="15"/>
  <c r="E66" i="15"/>
  <c r="C73" i="15"/>
  <c r="E62" i="15"/>
  <c r="C67" i="15" s="1"/>
  <c r="C74" i="15" s="1"/>
  <c r="Q10" i="15"/>
  <c r="O22" i="15" s="1"/>
  <c r="O29" i="15" s="1"/>
  <c r="F10" i="15"/>
  <c r="D23" i="15" s="1"/>
  <c r="D30" i="15" s="1"/>
  <c r="M10" i="14"/>
  <c r="L17" i="14" s="1"/>
  <c r="E16" i="14"/>
  <c r="D16" i="14"/>
  <c r="F16" i="14"/>
  <c r="F15" i="14"/>
  <c r="D15" i="14"/>
  <c r="F22" i="14"/>
  <c r="E15" i="14"/>
  <c r="F24" i="14"/>
  <c r="D17" i="14"/>
  <c r="D23" i="14"/>
  <c r="D30" i="14" s="1"/>
  <c r="F17" i="14"/>
  <c r="F23" i="14"/>
  <c r="D24" i="14"/>
  <c r="D22" i="14"/>
  <c r="D29" i="14" s="1"/>
  <c r="J8" i="36"/>
  <c r="L10" i="36"/>
  <c r="M9" i="36"/>
  <c r="L16" i="36" s="1"/>
  <c r="K10" i="36"/>
  <c r="M8" i="36"/>
  <c r="E10" i="36"/>
  <c r="F9" i="36"/>
  <c r="D16" i="36" s="1"/>
  <c r="D10" i="36"/>
  <c r="F8" i="36"/>
  <c r="C10" i="36"/>
  <c r="N10" i="36"/>
  <c r="G10" i="36"/>
  <c r="F9" i="35"/>
  <c r="E16" i="35" s="1"/>
  <c r="K10" i="35"/>
  <c r="D10" i="35"/>
  <c r="E10" i="35"/>
  <c r="K15" i="35"/>
  <c r="C10" i="35"/>
  <c r="N10" i="35"/>
  <c r="G10" i="35"/>
  <c r="M117" i="8"/>
  <c r="M113" i="8"/>
  <c r="M107" i="8"/>
  <c r="M81" i="8"/>
  <c r="M78" i="8"/>
  <c r="M56" i="8"/>
  <c r="M54" i="8"/>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6" i="6"/>
  <c r="Z147" i="6"/>
  <c r="Z148" i="6"/>
  <c r="Z149" i="6"/>
  <c r="Z150" i="6"/>
  <c r="Z2" i="6"/>
  <c r="O44" i="18" l="1"/>
  <c r="O51" i="18" s="1"/>
  <c r="Q40" i="18"/>
  <c r="Q62" i="18"/>
  <c r="D23" i="18"/>
  <c r="D30" i="18" s="1"/>
  <c r="J22" i="18"/>
  <c r="E17" i="18"/>
  <c r="H17" i="18"/>
  <c r="I22" i="18"/>
  <c r="I29" i="18" s="1"/>
  <c r="J62" i="18"/>
  <c r="H66" i="18" s="1"/>
  <c r="H73" i="18" s="1"/>
  <c r="H23" i="18"/>
  <c r="H30" i="18" s="1"/>
  <c r="Q45" i="18"/>
  <c r="O45" i="18"/>
  <c r="O52" i="18" s="1"/>
  <c r="F22" i="15"/>
  <c r="O23" i="15"/>
  <c r="O30" i="15" s="1"/>
  <c r="D46" i="15"/>
  <c r="E46" i="15"/>
  <c r="C46" i="15"/>
  <c r="D22" i="15"/>
  <c r="D29" i="15" s="1"/>
  <c r="D66" i="15"/>
  <c r="D73" i="15" s="1"/>
  <c r="D77" i="15" s="1"/>
  <c r="D78" i="15" s="1"/>
  <c r="P23" i="15"/>
  <c r="P30" i="15" s="1"/>
  <c r="P22" i="15"/>
  <c r="P29" i="15" s="1"/>
  <c r="E22" i="15"/>
  <c r="E29" i="15" s="1"/>
  <c r="F23" i="15"/>
  <c r="E17" i="15"/>
  <c r="C45" i="15"/>
  <c r="C52" i="15" s="1"/>
  <c r="D55" i="15" s="1"/>
  <c r="D56" i="15" s="1"/>
  <c r="Q17" i="15"/>
  <c r="P24" i="15"/>
  <c r="O24" i="15"/>
  <c r="Q24" i="15"/>
  <c r="Q22" i="15"/>
  <c r="J17" i="15"/>
  <c r="H24" i="15"/>
  <c r="J24" i="15"/>
  <c r="G24" i="15"/>
  <c r="I23" i="15"/>
  <c r="I30" i="15" s="1"/>
  <c r="I22" i="15"/>
  <c r="I29" i="15" s="1"/>
  <c r="I24" i="15"/>
  <c r="H17" i="15"/>
  <c r="I17" i="15"/>
  <c r="H22" i="15"/>
  <c r="H29" i="15" s="1"/>
  <c r="E45" i="15"/>
  <c r="D24" i="15"/>
  <c r="E24" i="15"/>
  <c r="F24" i="15"/>
  <c r="F17" i="15"/>
  <c r="O17" i="15"/>
  <c r="Q23" i="15"/>
  <c r="H23" i="15"/>
  <c r="H30" i="15" s="1"/>
  <c r="D44" i="15"/>
  <c r="D51" i="15" s="1"/>
  <c r="D17" i="15"/>
  <c r="D45" i="15"/>
  <c r="D52" i="15" s="1"/>
  <c r="E23" i="15"/>
  <c r="E30" i="15" s="1"/>
  <c r="E17" i="14"/>
  <c r="E23" i="14"/>
  <c r="E30" i="14" s="1"/>
  <c r="E22" i="14"/>
  <c r="E29" i="14" s="1"/>
  <c r="L22" i="14"/>
  <c r="L29" i="14" s="1"/>
  <c r="M17" i="14"/>
  <c r="M24" i="14"/>
  <c r="L24" i="14"/>
  <c r="M23" i="14"/>
  <c r="M22" i="14"/>
  <c r="L23" i="14"/>
  <c r="L30" i="14" s="1"/>
  <c r="M15" i="36"/>
  <c r="G17" i="36"/>
  <c r="L15" i="36"/>
  <c r="Q10" i="36"/>
  <c r="N17" i="36"/>
  <c r="F16" i="36"/>
  <c r="E23" i="36"/>
  <c r="E30" i="36" s="1"/>
  <c r="C16" i="36"/>
  <c r="F15" i="36"/>
  <c r="D15" i="36"/>
  <c r="E15" i="36"/>
  <c r="F22" i="36"/>
  <c r="J10" i="36"/>
  <c r="H22" i="36"/>
  <c r="H29" i="36" s="1"/>
  <c r="I22" i="36"/>
  <c r="I29" i="36" s="1"/>
  <c r="J22" i="36"/>
  <c r="J15" i="36"/>
  <c r="I15" i="36"/>
  <c r="K16" i="36"/>
  <c r="M16" i="36"/>
  <c r="I16" i="35"/>
  <c r="M10" i="35"/>
  <c r="K22" i="35" s="1"/>
  <c r="K29" i="35" s="1"/>
  <c r="D15" i="35"/>
  <c r="F16" i="35"/>
  <c r="D16" i="35"/>
  <c r="Q16" i="35"/>
  <c r="N16" i="35"/>
  <c r="F15" i="35"/>
  <c r="Q10" i="35"/>
  <c r="O17" i="35" s="1"/>
  <c r="F10" i="35"/>
  <c r="F22" i="35" s="1"/>
  <c r="O16" i="35"/>
  <c r="K16" i="35"/>
  <c r="M16" i="35"/>
  <c r="H16" i="35"/>
  <c r="J16" i="35"/>
  <c r="L16" i="35"/>
  <c r="J10" i="35"/>
  <c r="G23" i="35" s="1"/>
  <c r="G30" i="35" s="1"/>
  <c r="C15" i="35"/>
  <c r="C16" i="35"/>
  <c r="L24" i="18"/>
  <c r="M24" i="18"/>
  <c r="M17" i="18"/>
  <c r="L17" i="18"/>
  <c r="M23" i="18"/>
  <c r="Q24" i="18"/>
  <c r="Q17" i="18"/>
  <c r="O24" i="18"/>
  <c r="P24" i="18"/>
  <c r="Q22" i="18"/>
  <c r="P22" i="18"/>
  <c r="P29" i="18" s="1"/>
  <c r="M22" i="18"/>
  <c r="D24" i="18"/>
  <c r="E24" i="18"/>
  <c r="F24" i="18"/>
  <c r="F17" i="18"/>
  <c r="Q23" i="18"/>
  <c r="O22" i="18"/>
  <c r="O29" i="18" s="1"/>
  <c r="J40" i="18"/>
  <c r="P23" i="18"/>
  <c r="P30" i="18" s="1"/>
  <c r="L22" i="18"/>
  <c r="L29" i="18" s="1"/>
  <c r="P17" i="18"/>
  <c r="O23" i="18"/>
  <c r="O30" i="18" s="1"/>
  <c r="D17" i="18"/>
  <c r="L23" i="18"/>
  <c r="L30" i="18" s="1"/>
  <c r="F23" i="18"/>
  <c r="E23" i="18"/>
  <c r="E30" i="18" s="1"/>
  <c r="F22" i="18"/>
  <c r="J24" i="18"/>
  <c r="J17" i="18"/>
  <c r="H24" i="18"/>
  <c r="I24" i="18"/>
  <c r="H22" i="18"/>
  <c r="H29" i="18" s="1"/>
  <c r="E22" i="18"/>
  <c r="E29" i="18" s="1"/>
  <c r="J23" i="18"/>
  <c r="E68" i="15"/>
  <c r="D68" i="15"/>
  <c r="C68" i="15"/>
  <c r="M10" i="36"/>
  <c r="L17" i="36" s="1"/>
  <c r="K15" i="36"/>
  <c r="F10" i="36"/>
  <c r="C17" i="36" s="1"/>
  <c r="C15" i="36"/>
  <c r="G15" i="36"/>
  <c r="N15" i="36"/>
  <c r="N15" i="35"/>
  <c r="G15" i="35"/>
  <c r="AC27" i="25"/>
  <c r="AL27" i="25" s="1"/>
  <c r="Y27" i="25"/>
  <c r="V27" i="25"/>
  <c r="S27" i="25"/>
  <c r="P27" i="25"/>
  <c r="M27" i="25"/>
  <c r="AC26" i="25"/>
  <c r="AL26" i="25" s="1"/>
  <c r="Y26" i="25"/>
  <c r="V26" i="25"/>
  <c r="S26" i="25"/>
  <c r="P26" i="25"/>
  <c r="M26" i="25"/>
  <c r="AC25" i="25"/>
  <c r="AL25" i="25" s="1"/>
  <c r="Y25" i="25"/>
  <c r="V25" i="25"/>
  <c r="S25" i="25"/>
  <c r="P25" i="25"/>
  <c r="M25" i="25"/>
  <c r="AC24" i="25"/>
  <c r="AL24" i="25" s="1"/>
  <c r="Y24" i="25"/>
  <c r="V24" i="25"/>
  <c r="S24" i="25"/>
  <c r="P24" i="25"/>
  <c r="M24" i="25"/>
  <c r="AC23" i="25"/>
  <c r="AL23" i="25" s="1"/>
  <c r="Y23" i="25"/>
  <c r="V23" i="25"/>
  <c r="S23" i="25"/>
  <c r="P23" i="25"/>
  <c r="M23" i="25"/>
  <c r="AC22" i="25"/>
  <c r="AL22" i="25" s="1"/>
  <c r="Y22" i="25"/>
  <c r="V22" i="25"/>
  <c r="S22" i="25"/>
  <c r="P22" i="25"/>
  <c r="M22" i="25"/>
  <c r="AC21" i="25"/>
  <c r="AL21" i="25" s="1"/>
  <c r="Y21" i="25"/>
  <c r="V21" i="25"/>
  <c r="S21" i="25"/>
  <c r="P21" i="25"/>
  <c r="M21" i="25"/>
  <c r="AC20" i="25"/>
  <c r="AL20" i="25" s="1"/>
  <c r="Y20" i="25"/>
  <c r="V20" i="25"/>
  <c r="S20" i="25"/>
  <c r="P20" i="25"/>
  <c r="M20" i="25"/>
  <c r="AC19" i="25"/>
  <c r="AL19" i="25" s="1"/>
  <c r="Y19" i="25"/>
  <c r="V19" i="25"/>
  <c r="S19" i="25"/>
  <c r="P19" i="25"/>
  <c r="M19" i="25"/>
  <c r="AC18" i="25"/>
  <c r="AL18" i="25" s="1"/>
  <c r="Y18" i="25"/>
  <c r="V18" i="25"/>
  <c r="S18" i="25"/>
  <c r="P18" i="25"/>
  <c r="M18" i="25"/>
  <c r="AC17" i="25"/>
  <c r="AL17" i="25" s="1"/>
  <c r="Y17" i="25"/>
  <c r="V17" i="25"/>
  <c r="S17" i="25"/>
  <c r="P17" i="25"/>
  <c r="M17" i="25"/>
  <c r="AC16" i="25"/>
  <c r="AL16" i="25" s="1"/>
  <c r="Y16" i="25"/>
  <c r="V16" i="25"/>
  <c r="S16" i="25"/>
  <c r="P16" i="25"/>
  <c r="M16" i="25"/>
  <c r="AC15" i="25"/>
  <c r="AL15" i="25" s="1"/>
  <c r="Y15" i="25"/>
  <c r="V15" i="25"/>
  <c r="S15" i="25"/>
  <c r="P15" i="25"/>
  <c r="M15" i="25"/>
  <c r="AC14" i="25"/>
  <c r="AL14" i="25" s="1"/>
  <c r="Y14" i="25"/>
  <c r="V14" i="25"/>
  <c r="S14" i="25"/>
  <c r="P14" i="25"/>
  <c r="M14" i="25"/>
  <c r="AC13" i="25"/>
  <c r="AL13" i="25" s="1"/>
  <c r="Y13" i="25"/>
  <c r="V13" i="25"/>
  <c r="S13" i="25"/>
  <c r="P13" i="25"/>
  <c r="M13" i="25"/>
  <c r="AC12" i="25"/>
  <c r="AL12" i="25" s="1"/>
  <c r="Y12" i="25"/>
  <c r="V12" i="25"/>
  <c r="S12" i="25"/>
  <c r="P12" i="25"/>
  <c r="M12" i="25"/>
  <c r="AC11" i="25"/>
  <c r="AL11" i="25" s="1"/>
  <c r="Y11" i="25"/>
  <c r="V11" i="25"/>
  <c r="S11" i="25"/>
  <c r="P11" i="25"/>
  <c r="M11" i="25"/>
  <c r="AC10" i="25"/>
  <c r="AL10" i="25" s="1"/>
  <c r="Y10" i="25"/>
  <c r="V10" i="25"/>
  <c r="S10" i="25"/>
  <c r="P10" i="25"/>
  <c r="M10" i="25"/>
  <c r="AC9" i="25"/>
  <c r="AL9" i="25" s="1"/>
  <c r="Y9" i="25"/>
  <c r="V9" i="25"/>
  <c r="S9" i="25"/>
  <c r="P9" i="25"/>
  <c r="M9" i="25"/>
  <c r="AC8" i="25"/>
  <c r="AL8" i="25" s="1"/>
  <c r="Y8" i="25"/>
  <c r="V8" i="25"/>
  <c r="S8" i="25"/>
  <c r="P8" i="25"/>
  <c r="M8" i="25"/>
  <c r="AC7" i="25"/>
  <c r="AL7" i="25" s="1"/>
  <c r="Y7" i="25"/>
  <c r="V7" i="25"/>
  <c r="S7" i="25"/>
  <c r="P7" i="25"/>
  <c r="M7" i="25"/>
  <c r="AC6" i="25"/>
  <c r="AL6" i="25" s="1"/>
  <c r="Y6" i="25"/>
  <c r="V6" i="25"/>
  <c r="S6" i="25"/>
  <c r="P6" i="25"/>
  <c r="M6" i="25"/>
  <c r="AC5" i="25"/>
  <c r="AL5" i="25" s="1"/>
  <c r="Y5" i="25"/>
  <c r="V5" i="25"/>
  <c r="S5" i="25"/>
  <c r="P5" i="25"/>
  <c r="M5" i="25"/>
  <c r="AC4" i="25"/>
  <c r="AL4" i="25" s="1"/>
  <c r="Y4" i="25"/>
  <c r="V4" i="25"/>
  <c r="S4" i="25"/>
  <c r="P4" i="25"/>
  <c r="M4" i="25"/>
  <c r="AC3" i="25"/>
  <c r="AL3" i="25" s="1"/>
  <c r="Y3" i="25"/>
  <c r="V3" i="25"/>
  <c r="S3" i="25"/>
  <c r="P3" i="25"/>
  <c r="M3" i="25"/>
  <c r="AC2" i="25"/>
  <c r="AL2" i="25" s="1"/>
  <c r="Y2" i="25"/>
  <c r="V2" i="25"/>
  <c r="S2" i="25"/>
  <c r="P2" i="25"/>
  <c r="M2" i="25"/>
  <c r="O68" i="18" l="1"/>
  <c r="P68" i="18"/>
  <c r="Q68" i="18"/>
  <c r="Q67" i="18"/>
  <c r="P67" i="18"/>
  <c r="P74" i="18" s="1"/>
  <c r="O67" i="18"/>
  <c r="O74" i="18" s="1"/>
  <c r="Q66" i="18"/>
  <c r="O66" i="18"/>
  <c r="O73" i="18" s="1"/>
  <c r="P66" i="18"/>
  <c r="P73" i="18" s="1"/>
  <c r="I68" i="18"/>
  <c r="H68" i="18"/>
  <c r="J68" i="18"/>
  <c r="J67" i="18"/>
  <c r="I67" i="18"/>
  <c r="I74" i="18" s="1"/>
  <c r="J66" i="18"/>
  <c r="P46" i="18"/>
  <c r="Q46" i="18"/>
  <c r="O46" i="18"/>
  <c r="H67" i="18"/>
  <c r="H74" i="18" s="1"/>
  <c r="P45" i="18"/>
  <c r="P52" i="18" s="1"/>
  <c r="Q44" i="18"/>
  <c r="P55" i="18"/>
  <c r="P56" i="18" s="1"/>
  <c r="I66" i="18"/>
  <c r="I73" i="18" s="1"/>
  <c r="P44" i="18"/>
  <c r="P51" i="18" s="1"/>
  <c r="K23" i="36"/>
  <c r="K30" i="36" s="1"/>
  <c r="C23" i="36"/>
  <c r="C30" i="36" s="1"/>
  <c r="K17" i="36"/>
  <c r="D17" i="36"/>
  <c r="E22" i="36"/>
  <c r="E29" i="36" s="1"/>
  <c r="K24" i="36"/>
  <c r="M17" i="36"/>
  <c r="L24" i="36"/>
  <c r="M24" i="36"/>
  <c r="E17" i="36"/>
  <c r="M22" i="36"/>
  <c r="D24" i="36"/>
  <c r="F24" i="36"/>
  <c r="E24" i="36"/>
  <c r="F17" i="36"/>
  <c r="C24" i="36"/>
  <c r="F23" i="36"/>
  <c r="M23" i="36"/>
  <c r="D23" i="36"/>
  <c r="D30" i="36" s="1"/>
  <c r="L22" i="36"/>
  <c r="L29" i="36" s="1"/>
  <c r="D22" i="36"/>
  <c r="D29" i="36" s="1"/>
  <c r="L23" i="36"/>
  <c r="L30" i="36" s="1"/>
  <c r="J24" i="36"/>
  <c r="G24" i="36"/>
  <c r="H24" i="36"/>
  <c r="J17" i="36"/>
  <c r="I24" i="36"/>
  <c r="H23" i="36"/>
  <c r="H30" i="36" s="1"/>
  <c r="I23" i="36"/>
  <c r="I30" i="36" s="1"/>
  <c r="H17" i="36"/>
  <c r="G23" i="36"/>
  <c r="G30" i="36" s="1"/>
  <c r="J23" i="36"/>
  <c r="I17" i="36"/>
  <c r="Q24" i="36"/>
  <c r="N24" i="36"/>
  <c r="Q17" i="36"/>
  <c r="O24" i="36"/>
  <c r="P24" i="36"/>
  <c r="Q22" i="36"/>
  <c r="P17" i="36"/>
  <c r="O23" i="36"/>
  <c r="O30" i="36" s="1"/>
  <c r="P22" i="36"/>
  <c r="P29" i="36" s="1"/>
  <c r="P23" i="36"/>
  <c r="P30" i="36" s="1"/>
  <c r="O22" i="36"/>
  <c r="O29" i="36" s="1"/>
  <c r="O17" i="36"/>
  <c r="Q23" i="36"/>
  <c r="N23" i="36"/>
  <c r="N30" i="36" s="1"/>
  <c r="J23" i="35"/>
  <c r="I22" i="35"/>
  <c r="I29" i="35" s="1"/>
  <c r="C17" i="35"/>
  <c r="D23" i="35"/>
  <c r="D30" i="35" s="1"/>
  <c r="I23" i="35"/>
  <c r="I30" i="35" s="1"/>
  <c r="E17" i="35"/>
  <c r="Q23" i="35"/>
  <c r="G17" i="35"/>
  <c r="N23" i="35"/>
  <c r="N30" i="35" s="1"/>
  <c r="E22" i="35"/>
  <c r="E29" i="35" s="1"/>
  <c r="K24" i="35"/>
  <c r="L24" i="35"/>
  <c r="M24" i="35"/>
  <c r="M17" i="35"/>
  <c r="M22" i="35"/>
  <c r="L22" i="35"/>
  <c r="L29" i="35" s="1"/>
  <c r="L17" i="35"/>
  <c r="J24" i="35"/>
  <c r="H24" i="35"/>
  <c r="I24" i="35"/>
  <c r="G24" i="35"/>
  <c r="J17" i="35"/>
  <c r="H17" i="35"/>
  <c r="H22" i="35"/>
  <c r="H29" i="35" s="1"/>
  <c r="J22" i="35"/>
  <c r="E23" i="35"/>
  <c r="E30" i="35" s="1"/>
  <c r="C22" i="35"/>
  <c r="C29" i="35" s="1"/>
  <c r="I17" i="35"/>
  <c r="K23" i="35"/>
  <c r="K30" i="35" s="1"/>
  <c r="N17" i="35"/>
  <c r="F23" i="35"/>
  <c r="P23" i="35"/>
  <c r="P30" i="35" s="1"/>
  <c r="G22" i="35"/>
  <c r="G29" i="35" s="1"/>
  <c r="H23" i="35"/>
  <c r="H30" i="35" s="1"/>
  <c r="M23" i="35"/>
  <c r="D24" i="35"/>
  <c r="E24" i="35"/>
  <c r="F24" i="35"/>
  <c r="C24" i="35"/>
  <c r="F17" i="35"/>
  <c r="O24" i="35"/>
  <c r="P24" i="35"/>
  <c r="Q24" i="35"/>
  <c r="Q17" i="35"/>
  <c r="N24" i="35"/>
  <c r="Q22" i="35"/>
  <c r="P22" i="35"/>
  <c r="P29" i="35" s="1"/>
  <c r="P17" i="35"/>
  <c r="O22" i="35"/>
  <c r="O29" i="35" s="1"/>
  <c r="C23" i="35"/>
  <c r="C30" i="35" s="1"/>
  <c r="N22" i="35"/>
  <c r="N29" i="35" s="1"/>
  <c r="D17" i="35"/>
  <c r="L23" i="35"/>
  <c r="L30" i="35" s="1"/>
  <c r="D22" i="35"/>
  <c r="D29" i="35" s="1"/>
  <c r="O23" i="35"/>
  <c r="O30" i="35" s="1"/>
  <c r="K17" i="35"/>
  <c r="I46" i="18"/>
  <c r="H46" i="18"/>
  <c r="J46" i="18"/>
  <c r="I45" i="18"/>
  <c r="I52" i="18" s="1"/>
  <c r="J45" i="18"/>
  <c r="H45" i="18"/>
  <c r="H52" i="18" s="1"/>
  <c r="I44" i="18"/>
  <c r="I51" i="18" s="1"/>
  <c r="H44" i="18"/>
  <c r="H51" i="18" s="1"/>
  <c r="J44" i="18"/>
  <c r="N22" i="36"/>
  <c r="N29" i="36" s="1"/>
  <c r="C22" i="36"/>
  <c r="C29" i="36" s="1"/>
  <c r="G22" i="36"/>
  <c r="G29" i="36" s="1"/>
  <c r="K22" i="36"/>
  <c r="K29" i="36" s="1"/>
  <c r="M15" i="26"/>
  <c r="J10" i="26"/>
  <c r="G10" i="26"/>
  <c r="J15" i="26"/>
  <c r="C10" i="26"/>
  <c r="M10" i="26"/>
  <c r="C15" i="26"/>
  <c r="G23" i="26" l="1"/>
  <c r="G30" i="26" s="1"/>
  <c r="G17" i="26"/>
  <c r="G24" i="26"/>
  <c r="J17" i="26"/>
  <c r="J23" i="26"/>
  <c r="J30" i="26" s="1"/>
  <c r="J24" i="26"/>
  <c r="C17" i="26"/>
  <c r="C23" i="26"/>
  <c r="C30" i="26" s="1"/>
  <c r="C24" i="26"/>
  <c r="M17" i="26"/>
  <c r="M23" i="26"/>
  <c r="M30" i="26" s="1"/>
  <c r="M24" i="26"/>
  <c r="I77" i="18"/>
  <c r="I78" i="18" s="1"/>
  <c r="P77" i="18"/>
  <c r="P78" i="18" s="1"/>
  <c r="G33" i="36"/>
  <c r="G34" i="36" s="1"/>
  <c r="D33" i="36"/>
  <c r="K34" i="35"/>
  <c r="D33" i="35"/>
  <c r="D34" i="35" s="1"/>
  <c r="N33" i="35"/>
  <c r="G33" i="35"/>
  <c r="G34" i="35" s="1"/>
  <c r="G15" i="26"/>
  <c r="I55" i="18"/>
  <c r="I56" i="18" s="1"/>
  <c r="N33" i="36"/>
  <c r="N34" i="36" s="1"/>
  <c r="D34" i="36"/>
  <c r="K34" i="36"/>
  <c r="N34" i="35"/>
  <c r="N32" i="20"/>
  <c r="G32" i="20"/>
  <c r="N32" i="19"/>
  <c r="G32" i="19"/>
  <c r="N32" i="18"/>
  <c r="G32" i="18"/>
  <c r="N32" i="15"/>
  <c r="G32" i="15"/>
  <c r="N32" i="14"/>
  <c r="G32" i="14"/>
  <c r="O32" i="10"/>
  <c r="K32" i="10"/>
  <c r="G32" i="10"/>
  <c r="G22" i="26" l="1"/>
  <c r="G29" i="26" s="1"/>
  <c r="G33" i="26" s="1"/>
  <c r="M22" i="26"/>
  <c r="M29" i="26" s="1"/>
  <c r="M33" i="26" s="1"/>
  <c r="C22" i="26"/>
  <c r="C29" i="26" s="1"/>
  <c r="D33" i="26" s="1"/>
  <c r="J22" i="26"/>
  <c r="J29" i="26" s="1"/>
  <c r="J33" i="26" s="1"/>
  <c r="AC124" i="8"/>
  <c r="AL124" i="8" s="1"/>
  <c r="V124" i="8"/>
  <c r="S124" i="8"/>
  <c r="P124" i="8"/>
  <c r="M124" i="8"/>
  <c r="AC123" i="8"/>
  <c r="AL123" i="8" s="1"/>
  <c r="Y123" i="8"/>
  <c r="V123" i="8"/>
  <c r="S123" i="8"/>
  <c r="P123" i="8"/>
  <c r="M123" i="8"/>
  <c r="AC122" i="8"/>
  <c r="AL122" i="8" s="1"/>
  <c r="Y122" i="8"/>
  <c r="V122" i="8"/>
  <c r="S122" i="8"/>
  <c r="P122" i="8"/>
  <c r="M122" i="8"/>
  <c r="AC121" i="8"/>
  <c r="AL121" i="8" s="1"/>
  <c r="Y121" i="8"/>
  <c r="V121" i="8"/>
  <c r="S121" i="8"/>
  <c r="P121" i="8"/>
  <c r="M121" i="8"/>
  <c r="AC120" i="8"/>
  <c r="AL120" i="8" s="1"/>
  <c r="Y120" i="8"/>
  <c r="V120" i="8"/>
  <c r="S120" i="8"/>
  <c r="P120" i="8"/>
  <c r="M120" i="8"/>
  <c r="AL119" i="8"/>
  <c r="AC119" i="8"/>
  <c r="Y119" i="8"/>
  <c r="V119" i="8"/>
  <c r="S119" i="8"/>
  <c r="P119" i="8"/>
  <c r="M119" i="8"/>
  <c r="AC118" i="8"/>
  <c r="AL118" i="8" s="1"/>
  <c r="Y118" i="8"/>
  <c r="V118" i="8"/>
  <c r="S118" i="8"/>
  <c r="P118" i="8"/>
  <c r="M118" i="8"/>
  <c r="AC117" i="8"/>
  <c r="AL117" i="8" s="1"/>
  <c r="Y117" i="8"/>
  <c r="V117" i="8"/>
  <c r="S117" i="8"/>
  <c r="P117" i="8"/>
  <c r="AC116" i="8"/>
  <c r="AL116" i="8" s="1"/>
  <c r="Y116" i="8"/>
  <c r="V116" i="8"/>
  <c r="S116" i="8"/>
  <c r="P116" i="8"/>
  <c r="M116" i="8"/>
  <c r="AC115" i="8"/>
  <c r="AL115" i="8" s="1"/>
  <c r="Y115" i="8"/>
  <c r="V115" i="8"/>
  <c r="S115" i="8"/>
  <c r="P115" i="8"/>
  <c r="M115" i="8"/>
  <c r="AC114" i="8"/>
  <c r="AL114" i="8" s="1"/>
  <c r="Y114" i="8"/>
  <c r="V114" i="8"/>
  <c r="S114" i="8"/>
  <c r="P114" i="8"/>
  <c r="M114" i="8"/>
  <c r="AC113" i="8"/>
  <c r="AL113" i="8" s="1"/>
  <c r="Y113" i="8"/>
  <c r="V113" i="8"/>
  <c r="S113" i="8"/>
  <c r="P113" i="8"/>
  <c r="AC112" i="8"/>
  <c r="AL112" i="8" s="1"/>
  <c r="Y112" i="8"/>
  <c r="V112" i="8"/>
  <c r="S112" i="8"/>
  <c r="P112" i="8"/>
  <c r="M112" i="8"/>
  <c r="AC111" i="8"/>
  <c r="AL111" i="8" s="1"/>
  <c r="Y111" i="8"/>
  <c r="V111" i="8"/>
  <c r="S111" i="8"/>
  <c r="P111" i="8"/>
  <c r="M111" i="8"/>
  <c r="AC110" i="8"/>
  <c r="AL110" i="8" s="1"/>
  <c r="Y110" i="8"/>
  <c r="V110" i="8"/>
  <c r="S110" i="8"/>
  <c r="P110" i="8"/>
  <c r="M110" i="8"/>
  <c r="AC109" i="8"/>
  <c r="AL109" i="8" s="1"/>
  <c r="Y109" i="8"/>
  <c r="V109" i="8"/>
  <c r="S109" i="8"/>
  <c r="P109" i="8"/>
  <c r="M109" i="8"/>
  <c r="AC108" i="8"/>
  <c r="AL108" i="8" s="1"/>
  <c r="Y108" i="8"/>
  <c r="V108" i="8"/>
  <c r="S108" i="8"/>
  <c r="P108" i="8"/>
  <c r="M108" i="8"/>
  <c r="AC107" i="8"/>
  <c r="AL107" i="8" s="1"/>
  <c r="Y107" i="8"/>
  <c r="V107" i="8"/>
  <c r="S107" i="8"/>
  <c r="P107" i="8"/>
  <c r="AC106" i="8"/>
  <c r="AL106" i="8" s="1"/>
  <c r="Y106" i="8"/>
  <c r="V106" i="8"/>
  <c r="S106" i="8"/>
  <c r="P106" i="8"/>
  <c r="M106" i="8"/>
  <c r="AC105" i="8"/>
  <c r="AL105" i="8" s="1"/>
  <c r="Y105" i="8"/>
  <c r="V105" i="8"/>
  <c r="S105" i="8"/>
  <c r="P105" i="8"/>
  <c r="M105" i="8"/>
  <c r="AC104" i="8"/>
  <c r="AL104" i="8" s="1"/>
  <c r="Y104" i="8"/>
  <c r="V104" i="8"/>
  <c r="S104" i="8"/>
  <c r="P104" i="8"/>
  <c r="M104" i="8"/>
  <c r="AC103" i="8"/>
  <c r="AL103" i="8" s="1"/>
  <c r="Y103" i="8"/>
  <c r="V103" i="8"/>
  <c r="S103" i="8"/>
  <c r="P103" i="8"/>
  <c r="M103" i="8"/>
  <c r="AC102" i="8"/>
  <c r="AL102" i="8" s="1"/>
  <c r="Y102" i="8"/>
  <c r="V102" i="8"/>
  <c r="S102" i="8"/>
  <c r="P102" i="8"/>
  <c r="M102" i="8"/>
  <c r="AC101" i="8"/>
  <c r="AL101" i="8" s="1"/>
  <c r="Y101" i="8"/>
  <c r="V101" i="8"/>
  <c r="S101" i="8"/>
  <c r="P101" i="8"/>
  <c r="M101" i="8"/>
  <c r="AC100" i="8"/>
  <c r="AL100" i="8" s="1"/>
  <c r="Y100" i="8"/>
  <c r="V100" i="8"/>
  <c r="S100" i="8"/>
  <c r="P100" i="8"/>
  <c r="M100" i="8"/>
  <c r="AC99" i="8"/>
  <c r="AL99" i="8" s="1"/>
  <c r="Y99" i="8"/>
  <c r="V99" i="8"/>
  <c r="S99" i="8"/>
  <c r="P99" i="8"/>
  <c r="M99" i="8"/>
  <c r="AC98" i="8"/>
  <c r="AL98" i="8" s="1"/>
  <c r="Y98" i="8"/>
  <c r="V98" i="8"/>
  <c r="S98" i="8"/>
  <c r="P98" i="8"/>
  <c r="M98" i="8"/>
  <c r="AC97" i="8"/>
  <c r="AL97" i="8" s="1"/>
  <c r="Y97" i="8"/>
  <c r="V97" i="8"/>
  <c r="S97" i="8"/>
  <c r="P97" i="8"/>
  <c r="M97" i="8"/>
  <c r="AC96" i="8"/>
  <c r="AL96" i="8" s="1"/>
  <c r="Y96" i="8"/>
  <c r="V96" i="8"/>
  <c r="S96" i="8"/>
  <c r="P96" i="8"/>
  <c r="M96" i="8"/>
  <c r="AC95" i="8"/>
  <c r="AL95" i="8" s="1"/>
  <c r="Y95" i="8"/>
  <c r="V95" i="8"/>
  <c r="S95" i="8"/>
  <c r="P95" i="8"/>
  <c r="M95" i="8"/>
  <c r="AC94" i="8"/>
  <c r="AL94" i="8" s="1"/>
  <c r="Y94" i="8"/>
  <c r="S94" i="8"/>
  <c r="P94" i="8"/>
  <c r="M94" i="8"/>
  <c r="AC93" i="8"/>
  <c r="AL93" i="8" s="1"/>
  <c r="Y93" i="8"/>
  <c r="V93" i="8"/>
  <c r="S93" i="8"/>
  <c r="P93" i="8"/>
  <c r="M93" i="8"/>
  <c r="AC92" i="8"/>
  <c r="AL92" i="8" s="1"/>
  <c r="Y92" i="8"/>
  <c r="V92" i="8"/>
  <c r="S92" i="8"/>
  <c r="P92" i="8"/>
  <c r="M92" i="8"/>
  <c r="AC91" i="8"/>
  <c r="AL91" i="8" s="1"/>
  <c r="Y91" i="8"/>
  <c r="V91" i="8"/>
  <c r="S91" i="8"/>
  <c r="P91" i="8"/>
  <c r="M91" i="8"/>
  <c r="AC90" i="8"/>
  <c r="AL90" i="8" s="1"/>
  <c r="Y90" i="8"/>
  <c r="V90" i="8"/>
  <c r="S90" i="8"/>
  <c r="P90" i="8"/>
  <c r="M90" i="8"/>
  <c r="AC89" i="8"/>
  <c r="AL89" i="8" s="1"/>
  <c r="Y89" i="8"/>
  <c r="V89" i="8"/>
  <c r="S89" i="8"/>
  <c r="P89" i="8"/>
  <c r="M89" i="8"/>
  <c r="AC88" i="8"/>
  <c r="AL88" i="8" s="1"/>
  <c r="Y88" i="8"/>
  <c r="V88" i="8"/>
  <c r="S88" i="8"/>
  <c r="P88" i="8"/>
  <c r="M88" i="8"/>
  <c r="AC87" i="8"/>
  <c r="AL87" i="8" s="1"/>
  <c r="Y87" i="8"/>
  <c r="V87" i="8"/>
  <c r="S87" i="8"/>
  <c r="P87" i="8"/>
  <c r="M87" i="8"/>
  <c r="AC86" i="8"/>
  <c r="AL86" i="8" s="1"/>
  <c r="Y86" i="8"/>
  <c r="V86" i="8"/>
  <c r="S86" i="8"/>
  <c r="P86" i="8"/>
  <c r="M86" i="8"/>
  <c r="AC85" i="8"/>
  <c r="AL85" i="8" s="1"/>
  <c r="Y85" i="8"/>
  <c r="V85" i="8"/>
  <c r="S85" i="8"/>
  <c r="P85" i="8"/>
  <c r="M85" i="8"/>
  <c r="AC84" i="8"/>
  <c r="AL84" i="8" s="1"/>
  <c r="Y84" i="8"/>
  <c r="V84" i="8"/>
  <c r="S84" i="8"/>
  <c r="P84" i="8"/>
  <c r="M84" i="8"/>
  <c r="AC83" i="8"/>
  <c r="AL83" i="8" s="1"/>
  <c r="Y83" i="8"/>
  <c r="V83" i="8"/>
  <c r="S83" i="8"/>
  <c r="P83" i="8"/>
  <c r="M83" i="8"/>
  <c r="AC82" i="8"/>
  <c r="AL82" i="8" s="1"/>
  <c r="Y82" i="8"/>
  <c r="V82" i="8"/>
  <c r="S82" i="8"/>
  <c r="P82" i="8"/>
  <c r="M82" i="8"/>
  <c r="AC81" i="8"/>
  <c r="AL81" i="8" s="1"/>
  <c r="V81" i="8"/>
  <c r="S81" i="8"/>
  <c r="P81" i="8"/>
  <c r="AC80" i="8"/>
  <c r="AL80" i="8" s="1"/>
  <c r="Y80" i="8"/>
  <c r="V80" i="8"/>
  <c r="S80" i="8"/>
  <c r="P80" i="8"/>
  <c r="M80" i="8"/>
  <c r="AC79" i="8"/>
  <c r="AL79" i="8" s="1"/>
  <c r="Y79" i="8"/>
  <c r="V79" i="8"/>
  <c r="S79" i="8"/>
  <c r="P79" i="8"/>
  <c r="M79" i="8"/>
  <c r="AC78" i="8"/>
  <c r="AL78" i="8" s="1"/>
  <c r="Y78" i="8"/>
  <c r="V78" i="8"/>
  <c r="S78" i="8"/>
  <c r="P78" i="8"/>
  <c r="AC77" i="8"/>
  <c r="AL77" i="8" s="1"/>
  <c r="Y77" i="8"/>
  <c r="V77" i="8"/>
  <c r="S77" i="8"/>
  <c r="P77" i="8"/>
  <c r="M77" i="8"/>
  <c r="AC76" i="8"/>
  <c r="AL76" i="8" s="1"/>
  <c r="Y76" i="8"/>
  <c r="V76" i="8"/>
  <c r="S76" i="8"/>
  <c r="P76" i="8"/>
  <c r="M76" i="8"/>
  <c r="AC75" i="8"/>
  <c r="AL75" i="8" s="1"/>
  <c r="Y75" i="8"/>
  <c r="V75" i="8"/>
  <c r="S75" i="8"/>
  <c r="P75" i="8"/>
  <c r="M75" i="8"/>
  <c r="AC74" i="8"/>
  <c r="AL74" i="8" s="1"/>
  <c r="Y74" i="8"/>
  <c r="V74" i="8"/>
  <c r="S74" i="8"/>
  <c r="P74" i="8"/>
  <c r="M74" i="8"/>
  <c r="AC73" i="8"/>
  <c r="AL73" i="8" s="1"/>
  <c r="Y73" i="8"/>
  <c r="V73" i="8"/>
  <c r="S73" i="8"/>
  <c r="P73" i="8"/>
  <c r="M73" i="8"/>
  <c r="AC72" i="8"/>
  <c r="AL72" i="8" s="1"/>
  <c r="Y72" i="8"/>
  <c r="V72" i="8"/>
  <c r="S72" i="8"/>
  <c r="P72" i="8"/>
  <c r="M72" i="8"/>
  <c r="AC71" i="8"/>
  <c r="AL71" i="8" s="1"/>
  <c r="Y71" i="8"/>
  <c r="V71" i="8"/>
  <c r="S71" i="8"/>
  <c r="P71" i="8"/>
  <c r="M71" i="8"/>
  <c r="AC70" i="8"/>
  <c r="AL70" i="8" s="1"/>
  <c r="Y70" i="8"/>
  <c r="V70" i="8"/>
  <c r="S70" i="8"/>
  <c r="P70" i="8"/>
  <c r="M70" i="8"/>
  <c r="AC69" i="8"/>
  <c r="AL69" i="8" s="1"/>
  <c r="Y69" i="8"/>
  <c r="V69" i="8"/>
  <c r="S69" i="8"/>
  <c r="P69" i="8"/>
  <c r="M69" i="8"/>
  <c r="AC68" i="8"/>
  <c r="AL68" i="8" s="1"/>
  <c r="Y68" i="8"/>
  <c r="V68" i="8"/>
  <c r="S68" i="8"/>
  <c r="P68" i="8"/>
  <c r="M68" i="8"/>
  <c r="AC67" i="8"/>
  <c r="AL67" i="8" s="1"/>
  <c r="Y67" i="8"/>
  <c r="V67" i="8"/>
  <c r="S67" i="8"/>
  <c r="P67" i="8"/>
  <c r="M67" i="8"/>
  <c r="AC66" i="8"/>
  <c r="AL66" i="8" s="1"/>
  <c r="Y66" i="8"/>
  <c r="V66" i="8"/>
  <c r="S66" i="8"/>
  <c r="P66" i="8"/>
  <c r="M66" i="8"/>
  <c r="AC65" i="8"/>
  <c r="AL65" i="8" s="1"/>
  <c r="Y65" i="8"/>
  <c r="V65" i="8"/>
  <c r="S65" i="8"/>
  <c r="P65" i="8"/>
  <c r="M65" i="8"/>
  <c r="AC64" i="8"/>
  <c r="AL64" i="8" s="1"/>
  <c r="Y64" i="8"/>
  <c r="V64" i="8"/>
  <c r="S64" i="8"/>
  <c r="P64" i="8"/>
  <c r="M64" i="8"/>
  <c r="AC63" i="8"/>
  <c r="AL63" i="8" s="1"/>
  <c r="Y63" i="8"/>
  <c r="V63" i="8"/>
  <c r="S63" i="8"/>
  <c r="P63" i="8"/>
  <c r="M63" i="8"/>
  <c r="AC62" i="8"/>
  <c r="AL62" i="8" s="1"/>
  <c r="Y62" i="8"/>
  <c r="V62" i="8"/>
  <c r="S62" i="8"/>
  <c r="P62" i="8"/>
  <c r="M62" i="8"/>
  <c r="AC61" i="8"/>
  <c r="AL61" i="8" s="1"/>
  <c r="Y61" i="8"/>
  <c r="V61" i="8"/>
  <c r="S61" i="8"/>
  <c r="P61" i="8"/>
  <c r="M61" i="8"/>
  <c r="AC60" i="8"/>
  <c r="AL60" i="8" s="1"/>
  <c r="Y60" i="8"/>
  <c r="V60" i="8"/>
  <c r="S60" i="8"/>
  <c r="P60" i="8"/>
  <c r="M60" i="8"/>
  <c r="AC59" i="8"/>
  <c r="AL59" i="8" s="1"/>
  <c r="Y59" i="8"/>
  <c r="V59" i="8"/>
  <c r="S59" i="8"/>
  <c r="P59" i="8"/>
  <c r="M59" i="8"/>
  <c r="AC58" i="8"/>
  <c r="AL58" i="8" s="1"/>
  <c r="Y58" i="8"/>
  <c r="V58" i="8"/>
  <c r="S58" i="8"/>
  <c r="P58" i="8"/>
  <c r="M58" i="8"/>
  <c r="AC57" i="8"/>
  <c r="AL57" i="8" s="1"/>
  <c r="Y57" i="8"/>
  <c r="V57" i="8"/>
  <c r="S57" i="8"/>
  <c r="P57" i="8"/>
  <c r="M57" i="8"/>
  <c r="AC56" i="8"/>
  <c r="AL56" i="8" s="1"/>
  <c r="Y56" i="8"/>
  <c r="V56" i="8"/>
  <c r="S56" i="8"/>
  <c r="P56" i="8"/>
  <c r="AC55" i="8"/>
  <c r="AL55" i="8" s="1"/>
  <c r="Y55" i="8"/>
  <c r="V55" i="8"/>
  <c r="S55" i="8"/>
  <c r="P55" i="8"/>
  <c r="M55" i="8"/>
  <c r="AC54" i="8"/>
  <c r="AL54" i="8" s="1"/>
  <c r="Y54" i="8"/>
  <c r="V54" i="8"/>
  <c r="S54" i="8"/>
  <c r="P54" i="8"/>
  <c r="AC53" i="8"/>
  <c r="AL53" i="8" s="1"/>
  <c r="Y53" i="8"/>
  <c r="V53" i="8"/>
  <c r="S53" i="8"/>
  <c r="P53" i="8"/>
  <c r="M53" i="8"/>
  <c r="AC52" i="8"/>
  <c r="AL52" i="8" s="1"/>
  <c r="Y52" i="8"/>
  <c r="V52" i="8"/>
  <c r="S52" i="8"/>
  <c r="P52" i="8"/>
  <c r="M52" i="8"/>
  <c r="AC51" i="8"/>
  <c r="AL51" i="8" s="1"/>
  <c r="Y51" i="8"/>
  <c r="V51" i="8"/>
  <c r="S51" i="8"/>
  <c r="P51" i="8"/>
  <c r="M51" i="8"/>
  <c r="AC50" i="8"/>
  <c r="AL50" i="8" s="1"/>
  <c r="Y50" i="8"/>
  <c r="V50" i="8"/>
  <c r="S50" i="8"/>
  <c r="P50" i="8"/>
  <c r="M50" i="8"/>
  <c r="AC49" i="8"/>
  <c r="AL49" i="8" s="1"/>
  <c r="Y49" i="8"/>
  <c r="V49" i="8"/>
  <c r="S49" i="8"/>
  <c r="P49" i="8"/>
  <c r="M49" i="8"/>
  <c r="AC48" i="8"/>
  <c r="AL48" i="8" s="1"/>
  <c r="Y48" i="8"/>
  <c r="V48" i="8"/>
  <c r="S48" i="8"/>
  <c r="P48" i="8"/>
  <c r="M48" i="8"/>
  <c r="AC47" i="8"/>
  <c r="AL47" i="8" s="1"/>
  <c r="Y47" i="8"/>
  <c r="V47" i="8"/>
  <c r="S47" i="8"/>
  <c r="P47" i="8"/>
  <c r="M47" i="8"/>
  <c r="AC46" i="8"/>
  <c r="AL46" i="8" s="1"/>
  <c r="Y46" i="8"/>
  <c r="V46" i="8"/>
  <c r="S46" i="8"/>
  <c r="P46" i="8"/>
  <c r="M46" i="8"/>
  <c r="AC45" i="8"/>
  <c r="AL45" i="8" s="1"/>
  <c r="Y45" i="8"/>
  <c r="V45" i="8"/>
  <c r="S45" i="8"/>
  <c r="P45" i="8"/>
  <c r="M45" i="8"/>
  <c r="AC44" i="8"/>
  <c r="AL44" i="8" s="1"/>
  <c r="Y44" i="8"/>
  <c r="V44" i="8"/>
  <c r="S44" i="8"/>
  <c r="P44" i="8"/>
  <c r="M44" i="8"/>
  <c r="AC43" i="8"/>
  <c r="AL43" i="8" s="1"/>
  <c r="Y43" i="8"/>
  <c r="V43" i="8"/>
  <c r="S43" i="8"/>
  <c r="P43" i="8"/>
  <c r="M43" i="8"/>
  <c r="AC42" i="8"/>
  <c r="AL42" i="8" s="1"/>
  <c r="Y42" i="8"/>
  <c r="V42" i="8"/>
  <c r="S42" i="8"/>
  <c r="P42" i="8"/>
  <c r="M42" i="8"/>
  <c r="AC41" i="8"/>
  <c r="AL41" i="8" s="1"/>
  <c r="Y41" i="8"/>
  <c r="V41" i="8"/>
  <c r="S41" i="8"/>
  <c r="P41" i="8"/>
  <c r="M41" i="8"/>
  <c r="AC40" i="8"/>
  <c r="AL40" i="8" s="1"/>
  <c r="Y40" i="8"/>
  <c r="V40" i="8"/>
  <c r="S40" i="8"/>
  <c r="P40" i="8"/>
  <c r="M40" i="8"/>
  <c r="AC39" i="8"/>
  <c r="AL39" i="8" s="1"/>
  <c r="Y39" i="8"/>
  <c r="V39" i="8"/>
  <c r="S39" i="8"/>
  <c r="P39" i="8"/>
  <c r="M39" i="8"/>
  <c r="AC38" i="8"/>
  <c r="AL38" i="8" s="1"/>
  <c r="Y38" i="8"/>
  <c r="V38" i="8"/>
  <c r="S38" i="8"/>
  <c r="P38" i="8"/>
  <c r="M38" i="8"/>
  <c r="AC37" i="8"/>
  <c r="AL37" i="8" s="1"/>
  <c r="Y37" i="8"/>
  <c r="V37" i="8"/>
  <c r="S37" i="8"/>
  <c r="P37" i="8"/>
  <c r="M37" i="8"/>
  <c r="AC36" i="8"/>
  <c r="AL36" i="8" s="1"/>
  <c r="Y36" i="8"/>
  <c r="V36" i="8"/>
  <c r="S36" i="8"/>
  <c r="P36" i="8"/>
  <c r="M36" i="8"/>
  <c r="AC35" i="8"/>
  <c r="AL35" i="8" s="1"/>
  <c r="Y35" i="8"/>
  <c r="V35" i="8"/>
  <c r="S35" i="8"/>
  <c r="P35" i="8"/>
  <c r="M35" i="8"/>
  <c r="AC34" i="8"/>
  <c r="AL34" i="8" s="1"/>
  <c r="Y34" i="8"/>
  <c r="V34" i="8"/>
  <c r="S34" i="8"/>
  <c r="P34" i="8"/>
  <c r="M34" i="8"/>
  <c r="AC33" i="8"/>
  <c r="AL33" i="8" s="1"/>
  <c r="Y33" i="8"/>
  <c r="V33" i="8"/>
  <c r="S33" i="8"/>
  <c r="P33" i="8"/>
  <c r="M33" i="8"/>
  <c r="AC32" i="8"/>
  <c r="AL32" i="8" s="1"/>
  <c r="Y32" i="8"/>
  <c r="V32" i="8"/>
  <c r="S32" i="8"/>
  <c r="P32" i="8"/>
  <c r="M32" i="8"/>
  <c r="AC31" i="8"/>
  <c r="AL31" i="8" s="1"/>
  <c r="Y31" i="8"/>
  <c r="V31" i="8"/>
  <c r="S31" i="8"/>
  <c r="P31" i="8"/>
  <c r="M31" i="8"/>
  <c r="AC30" i="8"/>
  <c r="AL30" i="8" s="1"/>
  <c r="Y30" i="8"/>
  <c r="V30" i="8"/>
  <c r="S30" i="8"/>
  <c r="P30" i="8"/>
  <c r="M30" i="8"/>
  <c r="AC29" i="8"/>
  <c r="AL29" i="8" s="1"/>
  <c r="Y29" i="8"/>
  <c r="V29" i="8"/>
  <c r="S29" i="8"/>
  <c r="P29" i="8"/>
  <c r="M29" i="8"/>
  <c r="AC28" i="8"/>
  <c r="AL28" i="8" s="1"/>
  <c r="Y28" i="8"/>
  <c r="V28" i="8"/>
  <c r="S28" i="8"/>
  <c r="P28" i="8"/>
  <c r="M28" i="8"/>
  <c r="AC27" i="8"/>
  <c r="AL27" i="8" s="1"/>
  <c r="Y27" i="8"/>
  <c r="V27" i="8"/>
  <c r="S27" i="8"/>
  <c r="P27" i="8"/>
  <c r="M27" i="8"/>
  <c r="AC26" i="8"/>
  <c r="AL26" i="8" s="1"/>
  <c r="Y26" i="8"/>
  <c r="V26" i="8"/>
  <c r="S26" i="8"/>
  <c r="P26" i="8"/>
  <c r="M26" i="8"/>
  <c r="AC25" i="8"/>
  <c r="AL25" i="8" s="1"/>
  <c r="Y25" i="8"/>
  <c r="V25" i="8"/>
  <c r="S25" i="8"/>
  <c r="P25" i="8"/>
  <c r="M25" i="8"/>
  <c r="AC24" i="8"/>
  <c r="AL24" i="8" s="1"/>
  <c r="Y24" i="8"/>
  <c r="V24" i="8"/>
  <c r="S24" i="8"/>
  <c r="P24" i="8"/>
  <c r="M24" i="8"/>
  <c r="AC23" i="8"/>
  <c r="AL23" i="8" s="1"/>
  <c r="Y23" i="8"/>
  <c r="V23" i="8"/>
  <c r="S23" i="8"/>
  <c r="P23" i="8"/>
  <c r="M23" i="8"/>
  <c r="AC22" i="8"/>
  <c r="AL22" i="8" s="1"/>
  <c r="Y22" i="8"/>
  <c r="V22" i="8"/>
  <c r="S22" i="8"/>
  <c r="P22" i="8"/>
  <c r="M22" i="8"/>
  <c r="AC21" i="8"/>
  <c r="AL21" i="8" s="1"/>
  <c r="Y21" i="8"/>
  <c r="V21" i="8"/>
  <c r="S21" i="8"/>
  <c r="P21" i="8"/>
  <c r="M21" i="8"/>
  <c r="AC20" i="8"/>
  <c r="AL20" i="8" s="1"/>
  <c r="Y20" i="8"/>
  <c r="V20" i="8"/>
  <c r="S20" i="8"/>
  <c r="P20" i="8"/>
  <c r="M20" i="8"/>
  <c r="AC19" i="8"/>
  <c r="AL19" i="8" s="1"/>
  <c r="Y19" i="8"/>
  <c r="V19" i="8"/>
  <c r="S19" i="8"/>
  <c r="P19" i="8"/>
  <c r="M19" i="8"/>
  <c r="AC18" i="8"/>
  <c r="AL18" i="8" s="1"/>
  <c r="Y18" i="8"/>
  <c r="V18" i="8"/>
  <c r="S18" i="8"/>
  <c r="P18" i="8"/>
  <c r="M18" i="8"/>
  <c r="AC17" i="8"/>
  <c r="AL17" i="8" s="1"/>
  <c r="Y17" i="8"/>
  <c r="V17" i="8"/>
  <c r="S17" i="8"/>
  <c r="P17" i="8"/>
  <c r="M17" i="8"/>
  <c r="AC16" i="8"/>
  <c r="AL16" i="8" s="1"/>
  <c r="Y16" i="8"/>
  <c r="V16" i="8"/>
  <c r="S16" i="8"/>
  <c r="P16" i="8"/>
  <c r="M16" i="8"/>
  <c r="AC15" i="8"/>
  <c r="AL15" i="8" s="1"/>
  <c r="Y15" i="8"/>
  <c r="V15" i="8"/>
  <c r="S15" i="8"/>
  <c r="P15" i="8"/>
  <c r="M15" i="8"/>
  <c r="AC14" i="8"/>
  <c r="AL14" i="8" s="1"/>
  <c r="Y14" i="8"/>
  <c r="V14" i="8"/>
  <c r="S14" i="8"/>
  <c r="P14" i="8"/>
  <c r="M14" i="8"/>
  <c r="AC13" i="8"/>
  <c r="AL13" i="8" s="1"/>
  <c r="Y13" i="8"/>
  <c r="V13" i="8"/>
  <c r="S13" i="8"/>
  <c r="P13" i="8"/>
  <c r="M13" i="8"/>
  <c r="AC12" i="8"/>
  <c r="AL12" i="8" s="1"/>
  <c r="Y12" i="8"/>
  <c r="V12" i="8"/>
  <c r="S12" i="8"/>
  <c r="P12" i="8"/>
  <c r="M12" i="8"/>
  <c r="AC11" i="8"/>
  <c r="AL11" i="8" s="1"/>
  <c r="Y11" i="8"/>
  <c r="V11" i="8"/>
  <c r="S11" i="8"/>
  <c r="P11" i="8"/>
  <c r="M11" i="8"/>
  <c r="AC10" i="8"/>
  <c r="AL10" i="8" s="1"/>
  <c r="Y10" i="8"/>
  <c r="V10" i="8"/>
  <c r="S10" i="8"/>
  <c r="P10" i="8"/>
  <c r="M10" i="8"/>
  <c r="AC9" i="8"/>
  <c r="AL9" i="8" s="1"/>
  <c r="Y9" i="8"/>
  <c r="V9" i="8"/>
  <c r="S9" i="8"/>
  <c r="P9" i="8"/>
  <c r="M9" i="8"/>
  <c r="AC8" i="8"/>
  <c r="AL8" i="8" s="1"/>
  <c r="Y8" i="8"/>
  <c r="V8" i="8"/>
  <c r="S8" i="8"/>
  <c r="P8" i="8"/>
  <c r="M8" i="8"/>
  <c r="AC7" i="8"/>
  <c r="AL7" i="8" s="1"/>
  <c r="Y7" i="8"/>
  <c r="V7" i="8"/>
  <c r="S7" i="8"/>
  <c r="P7" i="8"/>
  <c r="M7" i="8"/>
  <c r="AC6" i="8"/>
  <c r="AL6" i="8" s="1"/>
  <c r="Y6" i="8"/>
  <c r="V6" i="8"/>
  <c r="S6" i="8"/>
  <c r="P6" i="8"/>
  <c r="M6" i="8"/>
  <c r="AC5" i="8"/>
  <c r="AL5" i="8" s="1"/>
  <c r="Y5" i="8"/>
  <c r="V5" i="8"/>
  <c r="S5" i="8"/>
  <c r="P5" i="8"/>
  <c r="M5" i="8"/>
  <c r="AC4" i="8"/>
  <c r="AL4" i="8" s="1"/>
  <c r="Y4" i="8"/>
  <c r="V4" i="8"/>
  <c r="S4" i="8"/>
  <c r="P4" i="8"/>
  <c r="M4" i="8"/>
  <c r="AC3" i="8"/>
  <c r="AL3" i="8" s="1"/>
  <c r="Y3" i="8"/>
  <c r="V3" i="8"/>
  <c r="S3" i="8"/>
  <c r="P3" i="8"/>
  <c r="M3" i="8"/>
  <c r="AC2" i="8"/>
  <c r="AL2" i="8" s="1"/>
  <c r="Y2" i="8"/>
  <c r="V2" i="8"/>
  <c r="S2" i="8"/>
  <c r="P2" i="8"/>
  <c r="M2" i="8"/>
  <c r="AD150" i="6"/>
  <c r="AM150" i="6" s="1"/>
  <c r="Y150" i="6"/>
  <c r="V150" i="6"/>
  <c r="S150" i="6"/>
  <c r="P150" i="6"/>
  <c r="M150" i="6"/>
  <c r="AD149" i="6"/>
  <c r="AM149" i="6" s="1"/>
  <c r="Y149" i="6"/>
  <c r="V149" i="6"/>
  <c r="S149" i="6"/>
  <c r="P149" i="6"/>
  <c r="M149" i="6"/>
  <c r="AD148" i="6"/>
  <c r="AM148" i="6" s="1"/>
  <c r="Y148" i="6"/>
  <c r="V148" i="6"/>
  <c r="S148" i="6"/>
  <c r="P148" i="6"/>
  <c r="M148" i="6"/>
  <c r="AD147" i="6"/>
  <c r="AM147" i="6" s="1"/>
  <c r="Y147" i="6"/>
  <c r="V147" i="6"/>
  <c r="S147" i="6"/>
  <c r="P147" i="6"/>
  <c r="M147" i="6"/>
  <c r="AD146" i="6"/>
  <c r="AM146" i="6" s="1"/>
  <c r="Y146" i="6"/>
  <c r="V146" i="6"/>
  <c r="S146" i="6"/>
  <c r="P146" i="6"/>
  <c r="M146" i="6"/>
  <c r="AD145" i="6"/>
  <c r="AM145" i="6" s="1"/>
  <c r="V145" i="6"/>
  <c r="S145" i="6"/>
  <c r="P145" i="6"/>
  <c r="M145" i="6"/>
  <c r="AD144" i="6"/>
  <c r="AM144" i="6" s="1"/>
  <c r="Y144" i="6"/>
  <c r="V144" i="6"/>
  <c r="S144" i="6"/>
  <c r="P144" i="6"/>
  <c r="M144" i="6"/>
  <c r="AD143" i="6"/>
  <c r="AM143" i="6" s="1"/>
  <c r="Y143" i="6"/>
  <c r="V143" i="6"/>
  <c r="S143" i="6"/>
  <c r="P143" i="6"/>
  <c r="M143" i="6"/>
  <c r="AD142" i="6"/>
  <c r="AM142" i="6" s="1"/>
  <c r="Y142" i="6"/>
  <c r="V142" i="6"/>
  <c r="S142" i="6"/>
  <c r="P142" i="6"/>
  <c r="M142" i="6"/>
  <c r="AD141" i="6"/>
  <c r="AM141" i="6" s="1"/>
  <c r="Y141" i="6"/>
  <c r="V141" i="6"/>
  <c r="S141" i="6"/>
  <c r="P141" i="6"/>
  <c r="M141" i="6"/>
  <c r="AD140" i="6"/>
  <c r="AM140" i="6" s="1"/>
  <c r="Y140" i="6"/>
  <c r="V140" i="6"/>
  <c r="S140" i="6"/>
  <c r="P140" i="6"/>
  <c r="M140" i="6"/>
  <c r="AD139" i="6"/>
  <c r="AM139" i="6" s="1"/>
  <c r="Y139" i="6"/>
  <c r="V139" i="6"/>
  <c r="S139" i="6"/>
  <c r="P139" i="6"/>
  <c r="M139" i="6"/>
  <c r="AD138" i="6"/>
  <c r="AM138" i="6" s="1"/>
  <c r="Y138" i="6"/>
  <c r="V138" i="6"/>
  <c r="S138" i="6"/>
  <c r="P138" i="6"/>
  <c r="M138" i="6"/>
  <c r="AD137" i="6"/>
  <c r="AM137" i="6" s="1"/>
  <c r="Y137" i="6"/>
  <c r="V137" i="6"/>
  <c r="S137" i="6"/>
  <c r="P137" i="6"/>
  <c r="M137" i="6"/>
  <c r="AD136" i="6"/>
  <c r="AM136" i="6" s="1"/>
  <c r="Y136" i="6"/>
  <c r="V136" i="6"/>
  <c r="S136" i="6"/>
  <c r="P136" i="6"/>
  <c r="M136" i="6"/>
  <c r="AD135" i="6"/>
  <c r="AM135" i="6" s="1"/>
  <c r="Y135" i="6"/>
  <c r="V135" i="6"/>
  <c r="S135" i="6"/>
  <c r="P135" i="6"/>
  <c r="M135" i="6"/>
  <c r="AD134" i="6"/>
  <c r="AM134" i="6" s="1"/>
  <c r="Y134" i="6"/>
  <c r="V134" i="6"/>
  <c r="S134" i="6"/>
  <c r="P134" i="6"/>
  <c r="M134" i="6"/>
  <c r="AD133" i="6"/>
  <c r="AM133" i="6" s="1"/>
  <c r="Y133" i="6"/>
  <c r="V133" i="6"/>
  <c r="S133" i="6"/>
  <c r="P133" i="6"/>
  <c r="M133" i="6"/>
  <c r="AD132" i="6"/>
  <c r="AM132" i="6" s="1"/>
  <c r="Y132" i="6"/>
  <c r="V132" i="6"/>
  <c r="S132" i="6"/>
  <c r="P132" i="6"/>
  <c r="M132" i="6"/>
  <c r="AD131" i="6"/>
  <c r="AM131" i="6" s="1"/>
  <c r="Y131" i="6"/>
  <c r="V131" i="6"/>
  <c r="S131" i="6"/>
  <c r="P131" i="6"/>
  <c r="M131" i="6"/>
  <c r="AD130" i="6"/>
  <c r="AM130" i="6" s="1"/>
  <c r="Y130" i="6"/>
  <c r="V130" i="6"/>
  <c r="S130" i="6"/>
  <c r="P130" i="6"/>
  <c r="M130" i="6"/>
  <c r="AD129" i="6"/>
  <c r="AM129" i="6" s="1"/>
  <c r="Y129" i="6"/>
  <c r="V129" i="6"/>
  <c r="S129" i="6"/>
  <c r="P129" i="6"/>
  <c r="M129" i="6"/>
  <c r="AD128" i="6"/>
  <c r="AM128" i="6" s="1"/>
  <c r="Y128" i="6"/>
  <c r="V128" i="6"/>
  <c r="S128" i="6"/>
  <c r="P128" i="6"/>
  <c r="M128" i="6"/>
  <c r="AD127" i="6"/>
  <c r="AM127" i="6" s="1"/>
  <c r="Y127" i="6"/>
  <c r="V127" i="6"/>
  <c r="S127" i="6"/>
  <c r="P127" i="6"/>
  <c r="M127" i="6"/>
  <c r="AD126" i="6"/>
  <c r="AM126" i="6" s="1"/>
  <c r="Y126" i="6"/>
  <c r="V126" i="6"/>
  <c r="S126" i="6"/>
  <c r="P126" i="6"/>
  <c r="M126" i="6"/>
  <c r="AD125" i="6"/>
  <c r="AM125" i="6" s="1"/>
  <c r="Y125" i="6"/>
  <c r="V125" i="6"/>
  <c r="S125" i="6"/>
  <c r="P125" i="6"/>
  <c r="M125" i="6"/>
  <c r="AD124" i="6"/>
  <c r="AM124" i="6" s="1"/>
  <c r="Y124" i="6"/>
  <c r="V124" i="6"/>
  <c r="S124" i="6"/>
  <c r="P124" i="6"/>
  <c r="M124" i="6"/>
  <c r="AD123" i="6"/>
  <c r="AM123" i="6" s="1"/>
  <c r="Y123" i="6"/>
  <c r="V123" i="6"/>
  <c r="S123" i="6"/>
  <c r="P123" i="6"/>
  <c r="M123" i="6"/>
  <c r="AD122" i="6"/>
  <c r="AM122" i="6" s="1"/>
  <c r="Y122" i="6"/>
  <c r="V122" i="6"/>
  <c r="S122" i="6"/>
  <c r="P122" i="6"/>
  <c r="M122" i="6"/>
  <c r="AD121" i="6"/>
  <c r="AM121" i="6" s="1"/>
  <c r="Y121" i="6"/>
  <c r="V121" i="6"/>
  <c r="S121" i="6"/>
  <c r="P121" i="6"/>
  <c r="M121" i="6"/>
  <c r="AD120" i="6"/>
  <c r="AM120" i="6" s="1"/>
  <c r="Y120" i="6"/>
  <c r="V120" i="6"/>
  <c r="S120" i="6"/>
  <c r="P120" i="6"/>
  <c r="M120" i="6"/>
  <c r="AD119" i="6"/>
  <c r="AM119" i="6" s="1"/>
  <c r="Y119" i="6"/>
  <c r="V119" i="6"/>
  <c r="S119" i="6"/>
  <c r="P119" i="6"/>
  <c r="M119" i="6"/>
  <c r="AD118" i="6"/>
  <c r="AM118" i="6" s="1"/>
  <c r="Y118" i="6"/>
  <c r="V118" i="6"/>
  <c r="S118" i="6"/>
  <c r="P118" i="6"/>
  <c r="M118" i="6"/>
  <c r="AD117" i="6"/>
  <c r="AM117" i="6" s="1"/>
  <c r="Y117" i="6"/>
  <c r="V117" i="6"/>
  <c r="S117" i="6"/>
  <c r="P117" i="6"/>
  <c r="M117" i="6"/>
  <c r="AD116" i="6"/>
  <c r="AM116" i="6" s="1"/>
  <c r="Y116" i="6"/>
  <c r="V116" i="6"/>
  <c r="S116" i="6"/>
  <c r="P116" i="6"/>
  <c r="M116" i="6"/>
  <c r="AD115" i="6"/>
  <c r="AM115" i="6" s="1"/>
  <c r="Y115" i="6"/>
  <c r="V115" i="6"/>
  <c r="S115" i="6"/>
  <c r="P115" i="6"/>
  <c r="M115" i="6"/>
  <c r="AD114" i="6"/>
  <c r="AM114" i="6" s="1"/>
  <c r="Y114" i="6"/>
  <c r="V114" i="6"/>
  <c r="S114" i="6"/>
  <c r="P114" i="6"/>
  <c r="M114" i="6"/>
  <c r="AD113" i="6"/>
  <c r="AM113" i="6" s="1"/>
  <c r="Y113" i="6"/>
  <c r="V113" i="6"/>
  <c r="S113" i="6"/>
  <c r="P113" i="6"/>
  <c r="M113" i="6"/>
  <c r="AD112" i="6"/>
  <c r="AM112" i="6" s="1"/>
  <c r="Y112" i="6"/>
  <c r="V112" i="6"/>
  <c r="S112" i="6"/>
  <c r="P112" i="6"/>
  <c r="M112" i="6"/>
  <c r="AD111" i="6"/>
  <c r="AM111" i="6" s="1"/>
  <c r="Y111" i="6"/>
  <c r="V111" i="6"/>
  <c r="S111" i="6"/>
  <c r="P111" i="6"/>
  <c r="M111" i="6"/>
  <c r="AD110" i="6"/>
  <c r="AM110" i="6" s="1"/>
  <c r="Y110" i="6"/>
  <c r="V110" i="6"/>
  <c r="S110" i="6"/>
  <c r="P110" i="6"/>
  <c r="M110" i="6"/>
  <c r="AD109" i="6"/>
  <c r="AM109" i="6" s="1"/>
  <c r="Y109" i="6"/>
  <c r="V109" i="6"/>
  <c r="S109" i="6"/>
  <c r="P109" i="6"/>
  <c r="M109" i="6"/>
  <c r="AD108" i="6"/>
  <c r="AM108" i="6" s="1"/>
  <c r="Y108" i="6"/>
  <c r="V108" i="6"/>
  <c r="S108" i="6"/>
  <c r="P108" i="6"/>
  <c r="M108" i="6"/>
  <c r="AD107" i="6"/>
  <c r="AM107" i="6" s="1"/>
  <c r="Y107" i="6"/>
  <c r="V107" i="6"/>
  <c r="S107" i="6"/>
  <c r="P107" i="6"/>
  <c r="M107" i="6"/>
  <c r="AD106" i="6"/>
  <c r="AM106" i="6" s="1"/>
  <c r="Y106" i="6"/>
  <c r="V106" i="6"/>
  <c r="S106" i="6"/>
  <c r="P106" i="6"/>
  <c r="M106" i="6"/>
  <c r="AD105" i="6"/>
  <c r="AM105" i="6" s="1"/>
  <c r="Y105" i="6"/>
  <c r="V105" i="6"/>
  <c r="S105" i="6"/>
  <c r="P105" i="6"/>
  <c r="M105" i="6"/>
  <c r="AD104" i="6"/>
  <c r="AM104" i="6" s="1"/>
  <c r="Y104" i="6"/>
  <c r="S104" i="6"/>
  <c r="P104" i="6"/>
  <c r="M104" i="6"/>
  <c r="AD103" i="6"/>
  <c r="AM103" i="6" s="1"/>
  <c r="Y103" i="6"/>
  <c r="V103" i="6"/>
  <c r="S103" i="6"/>
  <c r="P103" i="6"/>
  <c r="M103" i="6"/>
  <c r="AD102" i="6"/>
  <c r="AM102" i="6" s="1"/>
  <c r="Y102" i="6"/>
  <c r="V102" i="6"/>
  <c r="S102" i="6"/>
  <c r="P102" i="6"/>
  <c r="M102" i="6"/>
  <c r="AD101" i="6"/>
  <c r="AM101" i="6" s="1"/>
  <c r="Y101" i="6"/>
  <c r="V101" i="6"/>
  <c r="S101" i="6"/>
  <c r="P101" i="6"/>
  <c r="M101" i="6"/>
  <c r="AD100" i="6"/>
  <c r="AM100" i="6" s="1"/>
  <c r="Y100" i="6"/>
  <c r="V100" i="6"/>
  <c r="S100" i="6"/>
  <c r="P100" i="6"/>
  <c r="M100" i="6"/>
  <c r="AD99" i="6"/>
  <c r="AM99" i="6" s="1"/>
  <c r="Y99" i="6"/>
  <c r="V99" i="6"/>
  <c r="S99" i="6"/>
  <c r="P99" i="6"/>
  <c r="M99" i="6"/>
  <c r="AD98" i="6"/>
  <c r="AM98" i="6" s="1"/>
  <c r="Y98" i="6"/>
  <c r="V98" i="6"/>
  <c r="S98" i="6"/>
  <c r="P98" i="6"/>
  <c r="M98" i="6"/>
  <c r="AD97" i="6"/>
  <c r="AM97" i="6" s="1"/>
  <c r="Y97" i="6"/>
  <c r="V97" i="6"/>
  <c r="S97" i="6"/>
  <c r="P97" i="6"/>
  <c r="M97" i="6"/>
  <c r="AD96" i="6"/>
  <c r="AM96" i="6" s="1"/>
  <c r="Y96" i="6"/>
  <c r="V96" i="6"/>
  <c r="S96" i="6"/>
  <c r="P96" i="6"/>
  <c r="M96" i="6"/>
  <c r="AD95" i="6"/>
  <c r="AM95" i="6" s="1"/>
  <c r="Y95" i="6"/>
  <c r="V95" i="6"/>
  <c r="S95" i="6"/>
  <c r="P95" i="6"/>
  <c r="M95" i="6"/>
  <c r="AD94" i="6"/>
  <c r="AM94" i="6" s="1"/>
  <c r="Y94" i="6"/>
  <c r="V94" i="6"/>
  <c r="S94" i="6"/>
  <c r="P94" i="6"/>
  <c r="M94" i="6"/>
  <c r="AD93" i="6"/>
  <c r="AM93" i="6" s="1"/>
  <c r="Y93" i="6"/>
  <c r="V93" i="6"/>
  <c r="S93" i="6"/>
  <c r="P93" i="6"/>
  <c r="M93" i="6"/>
  <c r="AD92" i="6"/>
  <c r="AM92" i="6" s="1"/>
  <c r="Y92" i="6"/>
  <c r="V92" i="6"/>
  <c r="S92" i="6"/>
  <c r="P92" i="6"/>
  <c r="M92" i="6"/>
  <c r="AD91" i="6"/>
  <c r="AM91" i="6" s="1"/>
  <c r="V91" i="6"/>
  <c r="S91" i="6"/>
  <c r="P91" i="6"/>
  <c r="M91" i="6"/>
  <c r="AD90" i="6"/>
  <c r="AM90" i="6" s="1"/>
  <c r="Y90" i="6"/>
  <c r="V90" i="6"/>
  <c r="S90" i="6"/>
  <c r="P90" i="6"/>
  <c r="M90" i="6"/>
  <c r="AD89" i="6"/>
  <c r="AM89" i="6" s="1"/>
  <c r="Y89" i="6"/>
  <c r="V89" i="6"/>
  <c r="S89" i="6"/>
  <c r="P89" i="6"/>
  <c r="M89" i="6"/>
  <c r="AD88" i="6"/>
  <c r="AM88" i="6" s="1"/>
  <c r="Y88" i="6"/>
  <c r="V88" i="6"/>
  <c r="S88" i="6"/>
  <c r="P88" i="6"/>
  <c r="M88" i="6"/>
  <c r="AD87" i="6"/>
  <c r="AM87" i="6" s="1"/>
  <c r="Y87" i="6"/>
  <c r="V87" i="6"/>
  <c r="S87" i="6"/>
  <c r="P87" i="6"/>
  <c r="M87" i="6"/>
  <c r="AD86" i="6"/>
  <c r="AM86" i="6" s="1"/>
  <c r="Y86" i="6"/>
  <c r="V86" i="6"/>
  <c r="S86" i="6"/>
  <c r="P86" i="6"/>
  <c r="M86" i="6"/>
  <c r="AD85" i="6"/>
  <c r="AM85" i="6" s="1"/>
  <c r="Y85" i="6"/>
  <c r="V85" i="6"/>
  <c r="S85" i="6"/>
  <c r="P85" i="6"/>
  <c r="M85" i="6"/>
  <c r="AD84" i="6"/>
  <c r="AM84" i="6" s="1"/>
  <c r="Y84" i="6"/>
  <c r="V84" i="6"/>
  <c r="S84" i="6"/>
  <c r="P84" i="6"/>
  <c r="M84" i="6"/>
  <c r="AD83" i="6"/>
  <c r="AM83" i="6" s="1"/>
  <c r="Y83" i="6"/>
  <c r="V83" i="6"/>
  <c r="S83" i="6"/>
  <c r="P83" i="6"/>
  <c r="M83" i="6"/>
  <c r="AD82" i="6"/>
  <c r="AM82" i="6" s="1"/>
  <c r="Y82" i="6"/>
  <c r="V82" i="6"/>
  <c r="S82" i="6"/>
  <c r="P82" i="6"/>
  <c r="M82" i="6"/>
  <c r="AD81" i="6"/>
  <c r="AM81" i="6" s="1"/>
  <c r="Y81" i="6"/>
  <c r="V81" i="6"/>
  <c r="S81" i="6"/>
  <c r="P81" i="6"/>
  <c r="M81" i="6"/>
  <c r="AD80" i="6"/>
  <c r="AM80" i="6" s="1"/>
  <c r="Y80" i="6"/>
  <c r="V80" i="6"/>
  <c r="S80" i="6"/>
  <c r="P80" i="6"/>
  <c r="M80" i="6"/>
  <c r="AD79" i="6"/>
  <c r="AM79" i="6" s="1"/>
  <c r="Y79" i="6"/>
  <c r="V79" i="6"/>
  <c r="S79" i="6"/>
  <c r="P79" i="6"/>
  <c r="M79" i="6"/>
  <c r="AD78" i="6"/>
  <c r="AM78" i="6" s="1"/>
  <c r="Y78" i="6"/>
  <c r="V78" i="6"/>
  <c r="S78" i="6"/>
  <c r="P78" i="6"/>
  <c r="M78" i="6"/>
  <c r="AD77" i="6"/>
  <c r="AM77" i="6" s="1"/>
  <c r="Y77" i="6"/>
  <c r="V77" i="6"/>
  <c r="S77" i="6"/>
  <c r="P77" i="6"/>
  <c r="M77" i="6"/>
  <c r="AD76" i="6"/>
  <c r="AM76" i="6" s="1"/>
  <c r="Y76" i="6"/>
  <c r="V76" i="6"/>
  <c r="S76" i="6"/>
  <c r="P76" i="6"/>
  <c r="M76" i="6"/>
  <c r="AD75" i="6"/>
  <c r="AM75" i="6" s="1"/>
  <c r="Y75" i="6"/>
  <c r="V75" i="6"/>
  <c r="S75" i="6"/>
  <c r="P75" i="6"/>
  <c r="M75" i="6"/>
  <c r="AD74" i="6"/>
  <c r="AM74" i="6" s="1"/>
  <c r="Y74" i="6"/>
  <c r="V74" i="6"/>
  <c r="S74" i="6"/>
  <c r="P74" i="6"/>
  <c r="M74" i="6"/>
  <c r="AD73" i="6"/>
  <c r="AM73" i="6" s="1"/>
  <c r="Y73" i="6"/>
  <c r="V73" i="6"/>
  <c r="S73" i="6"/>
  <c r="P73" i="6"/>
  <c r="M73" i="6"/>
  <c r="AD72" i="6"/>
  <c r="AM72" i="6" s="1"/>
  <c r="Y72" i="6"/>
  <c r="V72" i="6"/>
  <c r="S72" i="6"/>
  <c r="P72" i="6"/>
  <c r="M72" i="6"/>
  <c r="AD71" i="6"/>
  <c r="AM71" i="6" s="1"/>
  <c r="Y71" i="6"/>
  <c r="V71" i="6"/>
  <c r="S71" i="6"/>
  <c r="P71" i="6"/>
  <c r="M71" i="6"/>
  <c r="AD70" i="6"/>
  <c r="AM70" i="6" s="1"/>
  <c r="Y70" i="6"/>
  <c r="V70" i="6"/>
  <c r="S70" i="6"/>
  <c r="P70" i="6"/>
  <c r="M70" i="6"/>
  <c r="AD69" i="6"/>
  <c r="AM69" i="6" s="1"/>
  <c r="Y69" i="6"/>
  <c r="V69" i="6"/>
  <c r="S69" i="6"/>
  <c r="P69" i="6"/>
  <c r="M69" i="6"/>
  <c r="AD68" i="6"/>
  <c r="AM68" i="6" s="1"/>
  <c r="Y68" i="6"/>
  <c r="V68" i="6"/>
  <c r="S68" i="6"/>
  <c r="P68" i="6"/>
  <c r="M68" i="6"/>
  <c r="AD67" i="6"/>
  <c r="AM67" i="6" s="1"/>
  <c r="Y67" i="6"/>
  <c r="V67" i="6"/>
  <c r="S67" i="6"/>
  <c r="P67" i="6"/>
  <c r="M67" i="6"/>
  <c r="AD66" i="6"/>
  <c r="AM66" i="6" s="1"/>
  <c r="Y66" i="6"/>
  <c r="V66" i="6"/>
  <c r="S66" i="6"/>
  <c r="P66" i="6"/>
  <c r="M66" i="6"/>
  <c r="AD65" i="6"/>
  <c r="AM65" i="6" s="1"/>
  <c r="Y65" i="6"/>
  <c r="V65" i="6"/>
  <c r="S65" i="6"/>
  <c r="P65" i="6"/>
  <c r="M65" i="6"/>
  <c r="AD64" i="6"/>
  <c r="AM64" i="6" s="1"/>
  <c r="Y64" i="6"/>
  <c r="V64" i="6"/>
  <c r="S64" i="6"/>
  <c r="P64" i="6"/>
  <c r="M64" i="6"/>
  <c r="AD63" i="6"/>
  <c r="AM63" i="6" s="1"/>
  <c r="Y63" i="6"/>
  <c r="V63" i="6"/>
  <c r="S63" i="6"/>
  <c r="P63" i="6"/>
  <c r="M63" i="6"/>
  <c r="AD62" i="6"/>
  <c r="AM62" i="6" s="1"/>
  <c r="Y62" i="6"/>
  <c r="V62" i="6"/>
  <c r="S62" i="6"/>
  <c r="P62" i="6"/>
  <c r="M62" i="6"/>
  <c r="AD61" i="6"/>
  <c r="AM61" i="6" s="1"/>
  <c r="Y61" i="6"/>
  <c r="V61" i="6"/>
  <c r="S61" i="6"/>
  <c r="P61" i="6"/>
  <c r="M61" i="6"/>
  <c r="AD60" i="6"/>
  <c r="AM60" i="6" s="1"/>
  <c r="Y60" i="6"/>
  <c r="V60" i="6"/>
  <c r="S60" i="6"/>
  <c r="P60" i="6"/>
  <c r="M60" i="6"/>
  <c r="AD59" i="6"/>
  <c r="AM59" i="6" s="1"/>
  <c r="Y59" i="6"/>
  <c r="V59" i="6"/>
  <c r="S59" i="6"/>
  <c r="P59" i="6"/>
  <c r="M59" i="6"/>
  <c r="AD58" i="6"/>
  <c r="AM58" i="6" s="1"/>
  <c r="Y58" i="6"/>
  <c r="V58" i="6"/>
  <c r="S58" i="6"/>
  <c r="P58" i="6"/>
  <c r="M58" i="6"/>
  <c r="AD57" i="6"/>
  <c r="AM57" i="6" s="1"/>
  <c r="Y57" i="6"/>
  <c r="V57" i="6"/>
  <c r="S57" i="6"/>
  <c r="P57" i="6"/>
  <c r="M57" i="6"/>
  <c r="AD56" i="6"/>
  <c r="AM56" i="6" s="1"/>
  <c r="Y56" i="6"/>
  <c r="V56" i="6"/>
  <c r="S56" i="6"/>
  <c r="P56" i="6"/>
  <c r="M56" i="6"/>
  <c r="AD55" i="6"/>
  <c r="AM55" i="6" s="1"/>
  <c r="Y55" i="6"/>
  <c r="V55" i="6"/>
  <c r="S55" i="6"/>
  <c r="P55" i="6"/>
  <c r="M55" i="6"/>
  <c r="AD54" i="6"/>
  <c r="AM54" i="6" s="1"/>
  <c r="Y54" i="6"/>
  <c r="V54" i="6"/>
  <c r="S54" i="6"/>
  <c r="P54" i="6"/>
  <c r="M54" i="6"/>
  <c r="AD53" i="6"/>
  <c r="AM53" i="6" s="1"/>
  <c r="Y53" i="6"/>
  <c r="V53" i="6"/>
  <c r="S53" i="6"/>
  <c r="P53" i="6"/>
  <c r="M53" i="6"/>
  <c r="AD52" i="6"/>
  <c r="AM52" i="6" s="1"/>
  <c r="Y52" i="6"/>
  <c r="V52" i="6"/>
  <c r="S52" i="6"/>
  <c r="P52" i="6"/>
  <c r="M52" i="6"/>
  <c r="AD51" i="6"/>
  <c r="AM51" i="6" s="1"/>
  <c r="Y51" i="6"/>
  <c r="V51" i="6"/>
  <c r="S51" i="6"/>
  <c r="P51" i="6"/>
  <c r="M51" i="6"/>
  <c r="AD50" i="6"/>
  <c r="AM50" i="6" s="1"/>
  <c r="Y50" i="6"/>
  <c r="V50" i="6"/>
  <c r="S50" i="6"/>
  <c r="P50" i="6"/>
  <c r="M50" i="6"/>
  <c r="AD49" i="6"/>
  <c r="AM49" i="6" s="1"/>
  <c r="Y49" i="6"/>
  <c r="V49" i="6"/>
  <c r="S49" i="6"/>
  <c r="P49" i="6"/>
  <c r="M49" i="6"/>
  <c r="AD48" i="6"/>
  <c r="AM48" i="6" s="1"/>
  <c r="Y48" i="6"/>
  <c r="V48" i="6"/>
  <c r="S48" i="6"/>
  <c r="P48" i="6"/>
  <c r="M48" i="6"/>
  <c r="AD47" i="6"/>
  <c r="AM47" i="6" s="1"/>
  <c r="Y47" i="6"/>
  <c r="V47" i="6"/>
  <c r="S47" i="6"/>
  <c r="P47" i="6"/>
  <c r="M47" i="6"/>
  <c r="AD46" i="6"/>
  <c r="AM46" i="6" s="1"/>
  <c r="Y46" i="6"/>
  <c r="V46" i="6"/>
  <c r="S46" i="6"/>
  <c r="P46" i="6"/>
  <c r="M46" i="6"/>
  <c r="AD45" i="6"/>
  <c r="AM45" i="6" s="1"/>
  <c r="Y45" i="6"/>
  <c r="V45" i="6"/>
  <c r="S45" i="6"/>
  <c r="P45" i="6"/>
  <c r="M45" i="6"/>
  <c r="AD44" i="6"/>
  <c r="AM44" i="6" s="1"/>
  <c r="Y44" i="6"/>
  <c r="V44" i="6"/>
  <c r="S44" i="6"/>
  <c r="P44" i="6"/>
  <c r="M44" i="6"/>
  <c r="AD43" i="6"/>
  <c r="AM43" i="6" s="1"/>
  <c r="Y43" i="6"/>
  <c r="V43" i="6"/>
  <c r="S43" i="6"/>
  <c r="P43" i="6"/>
  <c r="M43" i="6"/>
  <c r="AD42" i="6"/>
  <c r="AM42" i="6" s="1"/>
  <c r="Y42" i="6"/>
  <c r="V42" i="6"/>
  <c r="S42" i="6"/>
  <c r="P42" i="6"/>
  <c r="M42" i="6"/>
  <c r="AD41" i="6"/>
  <c r="AM41" i="6" s="1"/>
  <c r="Y41" i="6"/>
  <c r="V41" i="6"/>
  <c r="S41" i="6"/>
  <c r="P41" i="6"/>
  <c r="M41" i="6"/>
  <c r="AD40" i="6"/>
  <c r="AM40" i="6" s="1"/>
  <c r="Y40" i="6"/>
  <c r="V40" i="6"/>
  <c r="S40" i="6"/>
  <c r="P40" i="6"/>
  <c r="M40" i="6"/>
  <c r="AD39" i="6"/>
  <c r="AM39" i="6" s="1"/>
  <c r="Y39" i="6"/>
  <c r="V39" i="6"/>
  <c r="S39" i="6"/>
  <c r="P39" i="6"/>
  <c r="M39" i="6"/>
  <c r="AD38" i="6"/>
  <c r="AM38" i="6" s="1"/>
  <c r="Y38" i="6"/>
  <c r="V38" i="6"/>
  <c r="S38" i="6"/>
  <c r="P38" i="6"/>
  <c r="M38" i="6"/>
  <c r="AD37" i="6"/>
  <c r="AM37" i="6" s="1"/>
  <c r="Y37" i="6"/>
  <c r="V37" i="6"/>
  <c r="S37" i="6"/>
  <c r="P37" i="6"/>
  <c r="M37" i="6"/>
  <c r="AD36" i="6"/>
  <c r="AM36" i="6" s="1"/>
  <c r="Y36" i="6"/>
  <c r="V36" i="6"/>
  <c r="S36" i="6"/>
  <c r="P36" i="6"/>
  <c r="M36" i="6"/>
  <c r="AD35" i="6"/>
  <c r="AM35" i="6" s="1"/>
  <c r="Y35" i="6"/>
  <c r="V35" i="6"/>
  <c r="S35" i="6"/>
  <c r="P35" i="6"/>
  <c r="M35" i="6"/>
  <c r="AD34" i="6"/>
  <c r="AM34" i="6" s="1"/>
  <c r="Y34" i="6"/>
  <c r="V34" i="6"/>
  <c r="S34" i="6"/>
  <c r="P34" i="6"/>
  <c r="M34" i="6"/>
  <c r="AD33" i="6"/>
  <c r="AM33" i="6" s="1"/>
  <c r="Y33" i="6"/>
  <c r="V33" i="6"/>
  <c r="S33" i="6"/>
  <c r="P33" i="6"/>
  <c r="M33" i="6"/>
  <c r="AD32" i="6"/>
  <c r="AM32" i="6" s="1"/>
  <c r="Y32" i="6"/>
  <c r="V32" i="6"/>
  <c r="S32" i="6"/>
  <c r="P32" i="6"/>
  <c r="M32" i="6"/>
  <c r="AD31" i="6"/>
  <c r="AM31" i="6" s="1"/>
  <c r="Y31" i="6"/>
  <c r="V31" i="6"/>
  <c r="S31" i="6"/>
  <c r="P31" i="6"/>
  <c r="M31" i="6"/>
  <c r="AD30" i="6"/>
  <c r="AM30" i="6" s="1"/>
  <c r="Y30" i="6"/>
  <c r="V30" i="6"/>
  <c r="S30" i="6"/>
  <c r="P30" i="6"/>
  <c r="M30" i="6"/>
  <c r="AD29" i="6"/>
  <c r="AM29" i="6" s="1"/>
  <c r="Y29" i="6"/>
  <c r="V29" i="6"/>
  <c r="S29" i="6"/>
  <c r="P29" i="6"/>
  <c r="M29" i="6"/>
  <c r="AD28" i="6"/>
  <c r="AM28" i="6" s="1"/>
  <c r="Y28" i="6"/>
  <c r="V28" i="6"/>
  <c r="S28" i="6"/>
  <c r="P28" i="6"/>
  <c r="M28" i="6"/>
  <c r="AD27" i="6"/>
  <c r="AM27" i="6" s="1"/>
  <c r="Y27" i="6"/>
  <c r="V27" i="6"/>
  <c r="S27" i="6"/>
  <c r="P27" i="6"/>
  <c r="M27" i="6"/>
  <c r="AD26" i="6"/>
  <c r="AM26" i="6" s="1"/>
  <c r="Y26" i="6"/>
  <c r="V26" i="6"/>
  <c r="S26" i="6"/>
  <c r="P26" i="6"/>
  <c r="M26" i="6"/>
  <c r="AD25" i="6"/>
  <c r="AM25" i="6" s="1"/>
  <c r="Y25" i="6"/>
  <c r="V25" i="6"/>
  <c r="S25" i="6"/>
  <c r="P25" i="6"/>
  <c r="M25" i="6"/>
  <c r="AD24" i="6"/>
  <c r="AM24" i="6" s="1"/>
  <c r="Y24" i="6"/>
  <c r="V24" i="6"/>
  <c r="S24" i="6"/>
  <c r="P24" i="6"/>
  <c r="M24" i="6"/>
  <c r="AD23" i="6"/>
  <c r="AM23" i="6" s="1"/>
  <c r="Y23" i="6"/>
  <c r="V23" i="6"/>
  <c r="S23" i="6"/>
  <c r="P23" i="6"/>
  <c r="M23" i="6"/>
  <c r="AD22" i="6"/>
  <c r="AM22" i="6" s="1"/>
  <c r="Y22" i="6"/>
  <c r="V22" i="6"/>
  <c r="S22" i="6"/>
  <c r="P22" i="6"/>
  <c r="M22" i="6"/>
  <c r="AD21" i="6"/>
  <c r="AM21" i="6" s="1"/>
  <c r="Y21" i="6"/>
  <c r="V21" i="6"/>
  <c r="S21" i="6"/>
  <c r="P21" i="6"/>
  <c r="M21" i="6"/>
  <c r="AD20" i="6"/>
  <c r="AM20" i="6" s="1"/>
  <c r="Y20" i="6"/>
  <c r="V20" i="6"/>
  <c r="S20" i="6"/>
  <c r="P20" i="6"/>
  <c r="M20" i="6"/>
  <c r="AD19" i="6"/>
  <c r="AM19" i="6" s="1"/>
  <c r="Y19" i="6"/>
  <c r="V19" i="6"/>
  <c r="S19" i="6"/>
  <c r="P19" i="6"/>
  <c r="M19" i="6"/>
  <c r="AD18" i="6"/>
  <c r="AM18" i="6" s="1"/>
  <c r="Y18" i="6"/>
  <c r="V18" i="6"/>
  <c r="S18" i="6"/>
  <c r="P18" i="6"/>
  <c r="M18" i="6"/>
  <c r="AD17" i="6"/>
  <c r="AM17" i="6" s="1"/>
  <c r="Y17" i="6"/>
  <c r="V17" i="6"/>
  <c r="S17" i="6"/>
  <c r="P17" i="6"/>
  <c r="M17" i="6"/>
  <c r="AD16" i="6"/>
  <c r="AM16" i="6" s="1"/>
  <c r="Y16" i="6"/>
  <c r="V16" i="6"/>
  <c r="S16" i="6"/>
  <c r="P16" i="6"/>
  <c r="M16" i="6"/>
  <c r="AD15" i="6"/>
  <c r="AM15" i="6" s="1"/>
  <c r="Y15" i="6"/>
  <c r="V15" i="6"/>
  <c r="S15" i="6"/>
  <c r="P15" i="6"/>
  <c r="M15" i="6"/>
  <c r="AD14" i="6"/>
  <c r="AM14" i="6" s="1"/>
  <c r="Y14" i="6"/>
  <c r="V14" i="6"/>
  <c r="S14" i="6"/>
  <c r="P14" i="6"/>
  <c r="M14" i="6"/>
  <c r="AD13" i="6"/>
  <c r="AM13" i="6" s="1"/>
  <c r="Y13" i="6"/>
  <c r="V13" i="6"/>
  <c r="S13" i="6"/>
  <c r="P13" i="6"/>
  <c r="M13" i="6"/>
  <c r="AD12" i="6"/>
  <c r="AM12" i="6" s="1"/>
  <c r="Y12" i="6"/>
  <c r="V12" i="6"/>
  <c r="S12" i="6"/>
  <c r="P12" i="6"/>
  <c r="M12" i="6"/>
  <c r="AD11" i="6"/>
  <c r="AM11" i="6" s="1"/>
  <c r="Y11" i="6"/>
  <c r="V11" i="6"/>
  <c r="S11" i="6"/>
  <c r="P11" i="6"/>
  <c r="M11" i="6"/>
  <c r="AD10" i="6"/>
  <c r="AM10" i="6" s="1"/>
  <c r="Y10" i="6"/>
  <c r="V10" i="6"/>
  <c r="S10" i="6"/>
  <c r="P10" i="6"/>
  <c r="M10" i="6"/>
  <c r="AD9" i="6"/>
  <c r="AM9" i="6" s="1"/>
  <c r="Y9" i="6"/>
  <c r="V9" i="6"/>
  <c r="S9" i="6"/>
  <c r="P9" i="6"/>
  <c r="M9" i="6"/>
  <c r="AD8" i="6"/>
  <c r="AM8" i="6" s="1"/>
  <c r="Y8" i="6"/>
  <c r="V8" i="6"/>
  <c r="S8" i="6"/>
  <c r="P8" i="6"/>
  <c r="M8" i="6"/>
  <c r="AD7" i="6"/>
  <c r="AM7" i="6" s="1"/>
  <c r="Y7" i="6"/>
  <c r="V7" i="6"/>
  <c r="S7" i="6"/>
  <c r="P7" i="6"/>
  <c r="M7" i="6"/>
  <c r="AD6" i="6"/>
  <c r="AM6" i="6" s="1"/>
  <c r="Y6" i="6"/>
  <c r="V6" i="6"/>
  <c r="S6" i="6"/>
  <c r="P6" i="6"/>
  <c r="M6" i="6"/>
  <c r="AD5" i="6"/>
  <c r="AM5" i="6" s="1"/>
  <c r="Y5" i="6"/>
  <c r="V5" i="6"/>
  <c r="S5" i="6"/>
  <c r="P5" i="6"/>
  <c r="M5" i="6"/>
  <c r="AD4" i="6"/>
  <c r="AM4" i="6" s="1"/>
  <c r="Y4" i="6"/>
  <c r="V4" i="6"/>
  <c r="S4" i="6"/>
  <c r="P4" i="6"/>
  <c r="M4" i="6"/>
  <c r="AD3" i="6"/>
  <c r="AM3" i="6" s="1"/>
  <c r="Y3" i="6"/>
  <c r="V3" i="6"/>
  <c r="S3" i="6"/>
  <c r="P3" i="6"/>
  <c r="M3" i="6"/>
  <c r="AD2" i="6"/>
  <c r="AM2" i="6" s="1"/>
  <c r="Y2" i="6"/>
  <c r="V2" i="6"/>
  <c r="S2" i="6"/>
  <c r="P2" i="6"/>
  <c r="M2" i="6"/>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 i="1"/>
  <c r="I61" i="5"/>
  <c r="I60" i="5"/>
  <c r="H61" i="5"/>
  <c r="H60" i="5"/>
  <c r="G61" i="5"/>
  <c r="G60" i="5"/>
  <c r="G59" i="5"/>
  <c r="F61" i="5"/>
  <c r="F60" i="5"/>
  <c r="E61" i="5"/>
  <c r="E60" i="5"/>
  <c r="D61" i="5"/>
  <c r="D60" i="5"/>
  <c r="C61" i="5"/>
  <c r="C60" i="5"/>
  <c r="I59" i="5"/>
  <c r="H59" i="5"/>
  <c r="F59" i="5"/>
  <c r="E59" i="5"/>
  <c r="D59" i="5"/>
  <c r="C59" i="5"/>
  <c r="J54" i="5"/>
  <c r="J55" i="5" s="1" a="1"/>
  <c r="J55" i="5" s="1"/>
  <c r="I54" i="5" a="1"/>
  <c r="I54" i="5" s="1"/>
  <c r="I55" i="5" s="1" a="1"/>
  <c r="I55" i="5" s="1"/>
  <c r="H54" i="5" a="1"/>
  <c r="H54" i="5" s="1"/>
  <c r="H55" i="5" s="1" a="1"/>
  <c r="H55" i="5" s="1"/>
  <c r="G54" i="5" a="1"/>
  <c r="G54" i="5" s="1"/>
  <c r="G55" i="5" s="1" a="1"/>
  <c r="G55" i="5" s="1"/>
  <c r="F54" i="5" a="1"/>
  <c r="F54" i="5" s="1"/>
  <c r="F55" i="5" s="1"/>
  <c r="E54" i="5" a="1"/>
  <c r="E54" i="5" s="1"/>
  <c r="E55" i="5" s="1" a="1"/>
  <c r="E55" i="5" s="1"/>
  <c r="D54" i="5" a="1"/>
  <c r="D54" i="5" s="1"/>
  <c r="D55" i="5" s="1" a="1"/>
  <c r="D55" i="5" s="1"/>
  <c r="C54" i="5" a="1"/>
  <c r="C54" i="5" s="1"/>
  <c r="C55" i="5" s="1" a="1"/>
  <c r="C55" i="5" s="1"/>
  <c r="J49" i="5"/>
  <c r="J50" i="5" s="1" a="1"/>
  <c r="J50" i="5" s="1"/>
  <c r="I49" i="5" a="1"/>
  <c r="I49" i="5" s="1"/>
  <c r="I50" i="5" s="1" a="1"/>
  <c r="I50" i="5" s="1"/>
  <c r="H49" i="5" a="1"/>
  <c r="H49" i="5" s="1"/>
  <c r="H50" i="5" s="1" a="1"/>
  <c r="H50" i="5" s="1"/>
  <c r="G49" i="5" a="1"/>
  <c r="G49" i="5" s="1"/>
  <c r="G50" i="5" s="1" a="1"/>
  <c r="G50" i="5" s="1"/>
  <c r="F49" i="5" a="1"/>
  <c r="F49" i="5" s="1"/>
  <c r="F50" i="5" s="1" a="1"/>
  <c r="F50" i="5" s="1"/>
  <c r="E49" i="5" a="1"/>
  <c r="E49" i="5" s="1"/>
  <c r="E50" i="5" s="1" a="1"/>
  <c r="E50" i="5" s="1"/>
  <c r="D49" i="5" a="1"/>
  <c r="D49" i="5" s="1"/>
  <c r="D50" i="5" s="1" a="1"/>
  <c r="D50" i="5" s="1"/>
  <c r="C49" i="5"/>
  <c r="C50" i="5" s="1" a="1"/>
  <c r="C50" i="5" s="1"/>
  <c r="I45" i="5"/>
  <c r="I44" i="5"/>
  <c r="I43" i="5"/>
  <c r="H45" i="5"/>
  <c r="H44" i="5"/>
  <c r="H43" i="5"/>
  <c r="G45" i="5"/>
  <c r="G44" i="5"/>
  <c r="G43" i="5"/>
  <c r="F45" i="5"/>
  <c r="F44" i="5"/>
  <c r="F43" i="5"/>
  <c r="E45" i="5"/>
  <c r="E44" i="5"/>
  <c r="E43" i="5"/>
  <c r="D45" i="5"/>
  <c r="D44" i="5"/>
  <c r="D43" i="5"/>
  <c r="C45" i="5"/>
  <c r="C44" i="5"/>
  <c r="C43" i="5"/>
  <c r="I42" i="5"/>
  <c r="H42" i="5"/>
  <c r="G42" i="5"/>
  <c r="F42" i="5"/>
  <c r="E42" i="5"/>
  <c r="D42" i="5"/>
  <c r="C42" i="5"/>
  <c r="I38" i="5"/>
  <c r="I37" i="5"/>
  <c r="I36" i="5"/>
  <c r="I35" i="5"/>
  <c r="H38" i="5"/>
  <c r="H37" i="5"/>
  <c r="H36" i="5"/>
  <c r="H35" i="5"/>
  <c r="G38" i="5"/>
  <c r="G37" i="5"/>
  <c r="G36" i="5"/>
  <c r="G35" i="5"/>
  <c r="F38" i="5"/>
  <c r="F37" i="5"/>
  <c r="F36" i="5"/>
  <c r="F35" i="5"/>
  <c r="I34" i="5"/>
  <c r="H34" i="5"/>
  <c r="G34" i="5"/>
  <c r="F34" i="5"/>
  <c r="E38" i="5"/>
  <c r="E37" i="5"/>
  <c r="E36" i="5"/>
  <c r="E35" i="5"/>
  <c r="E34" i="5"/>
  <c r="D38" i="5"/>
  <c r="D37" i="5"/>
  <c r="D36" i="5"/>
  <c r="D35" i="5"/>
  <c r="D34" i="5"/>
  <c r="C38" i="5"/>
  <c r="C37" i="5"/>
  <c r="C36" i="5"/>
  <c r="C35" i="5"/>
  <c r="C34" i="5"/>
  <c r="I33" i="5"/>
  <c r="H33" i="5"/>
  <c r="G33" i="5"/>
  <c r="F33" i="5"/>
  <c r="E33" i="5"/>
  <c r="D33" i="5"/>
  <c r="I32" i="5"/>
  <c r="H32" i="5"/>
  <c r="G32" i="5"/>
  <c r="F32" i="5"/>
  <c r="E32" i="5"/>
  <c r="D32" i="5"/>
  <c r="I31" i="5"/>
  <c r="H31" i="5"/>
  <c r="G31" i="5"/>
  <c r="F31" i="5"/>
  <c r="E31" i="5"/>
  <c r="D31" i="5"/>
  <c r="I30" i="5"/>
  <c r="H30" i="5"/>
  <c r="G30" i="5"/>
  <c r="F30" i="5"/>
  <c r="E30" i="5"/>
  <c r="D30" i="5"/>
  <c r="C30" i="5"/>
  <c r="I29" i="5"/>
  <c r="H29" i="5"/>
  <c r="G29" i="5"/>
  <c r="F29" i="5"/>
  <c r="E29" i="5"/>
  <c r="D29" i="5"/>
  <c r="I28" i="5"/>
  <c r="H28" i="5"/>
  <c r="G28" i="5"/>
  <c r="F28" i="5"/>
  <c r="E28" i="5"/>
  <c r="D28" i="5"/>
  <c r="I27" i="5"/>
  <c r="H27" i="5"/>
  <c r="G27" i="5"/>
  <c r="F27" i="5"/>
  <c r="E27" i="5"/>
  <c r="D27" i="5"/>
  <c r="I26" i="5"/>
  <c r="H26" i="5"/>
  <c r="G26" i="5"/>
  <c r="F26" i="5"/>
  <c r="E26" i="5"/>
  <c r="D26" i="5"/>
  <c r="I25" i="5"/>
  <c r="H25" i="5"/>
  <c r="G25" i="5"/>
  <c r="F25" i="5"/>
  <c r="E25" i="5"/>
  <c r="D25" i="5"/>
  <c r="C33" i="5"/>
  <c r="C32" i="5"/>
  <c r="C31" i="5"/>
  <c r="C29" i="5"/>
  <c r="C28" i="5"/>
  <c r="C27" i="5"/>
  <c r="C26" i="5"/>
  <c r="C25" i="5"/>
  <c r="I24" i="5"/>
  <c r="H24" i="5"/>
  <c r="G24" i="5"/>
  <c r="F24" i="5"/>
  <c r="E24" i="5"/>
  <c r="D24" i="5"/>
  <c r="C24" i="5"/>
  <c r="I23" i="5"/>
  <c r="I22" i="5"/>
  <c r="I21" i="5"/>
  <c r="I20" i="5"/>
  <c r="H23" i="5"/>
  <c r="H22" i="5"/>
  <c r="H21" i="5"/>
  <c r="H20" i="5"/>
  <c r="G23" i="5"/>
  <c r="G22" i="5"/>
  <c r="G21" i="5"/>
  <c r="G20" i="5"/>
  <c r="F23" i="5"/>
  <c r="F22" i="5"/>
  <c r="F21" i="5"/>
  <c r="F20" i="5"/>
  <c r="E23" i="5"/>
  <c r="E22" i="5"/>
  <c r="E21" i="5"/>
  <c r="E20" i="5"/>
  <c r="D23" i="5"/>
  <c r="D22" i="5"/>
  <c r="D21" i="5"/>
  <c r="D20" i="5"/>
  <c r="C23" i="5"/>
  <c r="C22" i="5"/>
  <c r="C21" i="5"/>
  <c r="C20" i="5"/>
  <c r="I19" i="5"/>
  <c r="H19" i="5"/>
  <c r="G19" i="5"/>
  <c r="F19" i="5"/>
  <c r="E19" i="5"/>
  <c r="D19" i="5"/>
  <c r="C19" i="5"/>
  <c r="I18" i="5"/>
  <c r="H18" i="5"/>
  <c r="G18" i="5"/>
  <c r="F18" i="5"/>
  <c r="E18" i="5"/>
  <c r="D18" i="5"/>
  <c r="C18" i="5"/>
  <c r="I17" i="5"/>
  <c r="H17" i="5"/>
  <c r="G17" i="5"/>
  <c r="F17" i="5"/>
  <c r="E17" i="5"/>
  <c r="D17" i="5"/>
  <c r="C17" i="5"/>
  <c r="I16" i="5"/>
  <c r="H16" i="5"/>
  <c r="G16" i="5"/>
  <c r="F16" i="5"/>
  <c r="E16" i="5"/>
  <c r="D16" i="5"/>
  <c r="C16" i="5"/>
  <c r="I15" i="5"/>
  <c r="H15" i="5"/>
  <c r="G15" i="5"/>
  <c r="F15" i="5"/>
  <c r="E15" i="5"/>
  <c r="D15" i="5"/>
  <c r="C15" i="5"/>
  <c r="I14" i="5"/>
  <c r="H14" i="5"/>
  <c r="G14" i="5"/>
  <c r="F14" i="5"/>
  <c r="E14" i="5"/>
  <c r="D14" i="5"/>
  <c r="C14" i="5"/>
  <c r="I13" i="5"/>
  <c r="H13" i="5"/>
  <c r="G13" i="5"/>
  <c r="F13" i="5"/>
  <c r="E13" i="5"/>
  <c r="D13" i="5"/>
  <c r="C13" i="5"/>
  <c r="I12" i="5"/>
  <c r="H12" i="5"/>
  <c r="G12" i="5"/>
  <c r="F12" i="5"/>
  <c r="E12" i="5"/>
  <c r="D12" i="5"/>
  <c r="I11" i="5"/>
  <c r="H11" i="5"/>
  <c r="G11" i="5"/>
  <c r="F11" i="5"/>
  <c r="E11" i="5"/>
  <c r="D11" i="5"/>
  <c r="C12" i="5"/>
  <c r="C11" i="5"/>
  <c r="I10" i="5"/>
  <c r="H10" i="5"/>
  <c r="G10" i="5"/>
  <c r="F10" i="5"/>
  <c r="E10" i="5"/>
  <c r="D10" i="5"/>
  <c r="C10" i="5"/>
  <c r="I9" i="5"/>
  <c r="H9" i="5"/>
  <c r="G9" i="5"/>
  <c r="F9" i="5"/>
  <c r="E9" i="5"/>
  <c r="D9" i="5"/>
  <c r="C9" i="5"/>
  <c r="H62" i="5" l="1"/>
  <c r="C64" i="5"/>
  <c r="D62" i="5"/>
  <c r="E63" i="5"/>
  <c r="D63" i="5"/>
  <c r="I62" i="5"/>
  <c r="E64" i="5"/>
  <c r="C63" i="5"/>
  <c r="F62" i="5"/>
  <c r="G62" i="5"/>
  <c r="C62" i="5"/>
  <c r="F64" i="5"/>
  <c r="F63" i="5"/>
  <c r="G64" i="5"/>
  <c r="G63" i="5"/>
  <c r="H64" i="5"/>
  <c r="H63" i="5"/>
  <c r="I64" i="5"/>
  <c r="I63" i="5"/>
  <c r="E62" i="5"/>
  <c r="D64" i="5"/>
  <c r="G34" i="26"/>
  <c r="M34" i="26"/>
  <c r="J34" i="26"/>
  <c r="D34" i="26"/>
  <c r="J59" i="5"/>
  <c r="J61" i="5"/>
  <c r="J60" i="5"/>
  <c r="J11" i="5"/>
  <c r="J9" i="5"/>
  <c r="J43" i="5"/>
  <c r="J45" i="5"/>
  <c r="J44" i="5"/>
  <c r="J42" i="5"/>
  <c r="J38" i="5"/>
  <c r="J37" i="5"/>
  <c r="J36" i="5"/>
  <c r="J35" i="5"/>
  <c r="J34" i="5"/>
  <c r="J32" i="5"/>
  <c r="J26" i="5"/>
  <c r="J25" i="5"/>
  <c r="J33" i="5"/>
  <c r="J31" i="5"/>
  <c r="J30" i="5"/>
  <c r="J29" i="5"/>
  <c r="J28" i="5"/>
  <c r="J27" i="5"/>
  <c r="J24" i="5"/>
  <c r="J22" i="5"/>
  <c r="J21" i="5"/>
  <c r="J20" i="5"/>
  <c r="J23" i="5"/>
  <c r="J19" i="5"/>
  <c r="J18" i="5"/>
  <c r="J16" i="5"/>
  <c r="J17" i="5"/>
  <c r="J15" i="5"/>
  <c r="J14" i="5"/>
  <c r="J13" i="5"/>
  <c r="J12" i="5"/>
  <c r="J10" i="5"/>
  <c r="I8" i="5"/>
  <c r="H8" i="5"/>
  <c r="G8" i="5"/>
  <c r="F8" i="5"/>
  <c r="E8" i="5"/>
  <c r="D8" i="5"/>
  <c r="C8" i="5"/>
  <c r="I7" i="5"/>
  <c r="H7" i="5"/>
  <c r="G7" i="5"/>
  <c r="F7" i="5"/>
  <c r="E7" i="5"/>
  <c r="D7" i="5"/>
  <c r="C7" i="5"/>
  <c r="I6" i="5"/>
  <c r="H6" i="5"/>
  <c r="G6" i="5"/>
  <c r="F6" i="5"/>
  <c r="E6" i="5"/>
  <c r="D6" i="5"/>
  <c r="C6" i="5"/>
  <c r="I5" i="5"/>
  <c r="H5" i="5"/>
  <c r="G5" i="5"/>
  <c r="F5" i="5"/>
  <c r="E5" i="5"/>
  <c r="D5" i="5"/>
  <c r="C5" i="5"/>
  <c r="I4" i="5"/>
  <c r="H4" i="5"/>
  <c r="G4" i="5"/>
  <c r="F4" i="5"/>
  <c r="E4" i="5"/>
  <c r="D4" i="5"/>
  <c r="C4" i="5"/>
  <c r="I3" i="5"/>
  <c r="H3" i="5"/>
  <c r="G3" i="5"/>
  <c r="F3" i="5"/>
  <c r="E3" i="5"/>
  <c r="D3" i="5"/>
  <c r="C3" i="5"/>
  <c r="I2" i="5"/>
  <c r="Q21" i="5" s="1"/>
  <c r="H2" i="5"/>
  <c r="P44" i="5" s="1"/>
  <c r="G2" i="5"/>
  <c r="F2" i="5"/>
  <c r="N61" i="5" s="1"/>
  <c r="E2" i="5"/>
  <c r="M37" i="5" s="1"/>
  <c r="D2" i="5"/>
  <c r="L62" i="5" s="1"/>
  <c r="C2" i="5"/>
  <c r="K11" i="5" s="1"/>
  <c r="J63" i="5" l="1"/>
  <c r="J64" i="5"/>
  <c r="J62" i="5"/>
  <c r="L60" i="5"/>
  <c r="L64" i="5"/>
  <c r="P62" i="5"/>
  <c r="K4" i="5"/>
  <c r="Q64" i="5"/>
  <c r="P64" i="5"/>
  <c r="O62" i="5"/>
  <c r="N62" i="5"/>
  <c r="P15" i="5"/>
  <c r="K63" i="5"/>
  <c r="O63" i="5"/>
  <c r="L63" i="5"/>
  <c r="M62" i="5"/>
  <c r="N64" i="5"/>
  <c r="K64" i="5"/>
  <c r="O64" i="5"/>
  <c r="M63" i="5"/>
  <c r="Q62" i="5"/>
  <c r="Q63" i="5"/>
  <c r="K62" i="5"/>
  <c r="P63" i="5"/>
  <c r="N63" i="5"/>
  <c r="M64" i="5"/>
  <c r="K10" i="14"/>
  <c r="C10" i="15"/>
  <c r="C10" i="14"/>
  <c r="N10" i="18"/>
  <c r="N10" i="20"/>
  <c r="G10" i="19"/>
  <c r="G10" i="18"/>
  <c r="G10" i="14"/>
  <c r="K10" i="20"/>
  <c r="N10" i="15"/>
  <c r="N10" i="14"/>
  <c r="K10" i="19"/>
  <c r="C10" i="18"/>
  <c r="G10" i="20"/>
  <c r="K10" i="18"/>
  <c r="C10" i="20"/>
  <c r="C10" i="19"/>
  <c r="N10" i="19"/>
  <c r="O45" i="5"/>
  <c r="M45" i="5"/>
  <c r="O28" i="5"/>
  <c r="M61" i="5"/>
  <c r="L13" i="5"/>
  <c r="M3" i="5"/>
  <c r="N4" i="5"/>
  <c r="O5" i="5"/>
  <c r="P6" i="5"/>
  <c r="N22" i="5"/>
  <c r="K19" i="5"/>
  <c r="K61" i="5"/>
  <c r="N59" i="5"/>
  <c r="O60" i="5"/>
  <c r="M35" i="5"/>
  <c r="O4" i="5"/>
  <c r="P5" i="5"/>
  <c r="K8" i="5"/>
  <c r="M25" i="5"/>
  <c r="P61" i="5"/>
  <c r="K59" i="5"/>
  <c r="N13" i="5"/>
  <c r="P21" i="5"/>
  <c r="N42" i="5"/>
  <c r="N38" i="5"/>
  <c r="M60" i="5"/>
  <c r="O59" i="5"/>
  <c r="N31" i="5"/>
  <c r="K44" i="5"/>
  <c r="Q61" i="5"/>
  <c r="M59" i="5"/>
  <c r="K60" i="5"/>
  <c r="K32" i="5"/>
  <c r="N34" i="5"/>
  <c r="O23" i="5"/>
  <c r="P29" i="5"/>
  <c r="N60" i="5"/>
  <c r="P60" i="5"/>
  <c r="Q59" i="5"/>
  <c r="P38" i="5"/>
  <c r="O20" i="5"/>
  <c r="P59" i="5"/>
  <c r="L61" i="5"/>
  <c r="L59" i="5"/>
  <c r="P27" i="5"/>
  <c r="K27" i="5"/>
  <c r="K24" i="5"/>
  <c r="Q60" i="5"/>
  <c r="O61" i="5"/>
  <c r="Q7" i="5"/>
  <c r="L29" i="5"/>
  <c r="L43" i="5"/>
  <c r="K17" i="5"/>
  <c r="L36" i="5"/>
  <c r="N37" i="5"/>
  <c r="O26" i="5"/>
  <c r="P19" i="5"/>
  <c r="M30" i="5"/>
  <c r="N19" i="5"/>
  <c r="P26" i="5"/>
  <c r="L44" i="5"/>
  <c r="P32" i="5"/>
  <c r="Q23" i="5"/>
  <c r="P43" i="5"/>
  <c r="N45" i="5"/>
  <c r="M34" i="5"/>
  <c r="P24" i="5"/>
  <c r="L42" i="5"/>
  <c r="Q29" i="5"/>
  <c r="M21" i="5"/>
  <c r="M44" i="5"/>
  <c r="N43" i="5"/>
  <c r="M32" i="5"/>
  <c r="Q20" i="5"/>
  <c r="Q19" i="5"/>
  <c r="K37" i="5"/>
  <c r="Q6" i="5"/>
  <c r="K42" i="5"/>
  <c r="M43" i="5"/>
  <c r="O35" i="5"/>
  <c r="M23" i="5"/>
  <c r="M42" i="5"/>
  <c r="O22" i="5"/>
  <c r="Q37" i="5"/>
  <c r="M27" i="5"/>
  <c r="O30" i="5"/>
  <c r="K35" i="5"/>
  <c r="O3" i="5"/>
  <c r="P4" i="5"/>
  <c r="Q5" i="5"/>
  <c r="Q14" i="5"/>
  <c r="K21" i="5"/>
  <c r="K26" i="5"/>
  <c r="P42" i="5"/>
  <c r="L33" i="5"/>
  <c r="N21" i="5"/>
  <c r="P23" i="5"/>
  <c r="P36" i="5"/>
  <c r="N26" i="5"/>
  <c r="P30" i="5"/>
  <c r="Q28" i="5"/>
  <c r="K23" i="5"/>
  <c r="N25" i="5"/>
  <c r="M31" i="5"/>
  <c r="M22" i="5"/>
  <c r="O37" i="5"/>
  <c r="Q25" i="5"/>
  <c r="L24" i="5"/>
  <c r="N28" i="5"/>
  <c r="M38" i="5"/>
  <c r="K36" i="5"/>
  <c r="Q33" i="5"/>
  <c r="O12" i="5"/>
  <c r="K22" i="5"/>
  <c r="K43" i="5"/>
  <c r="P31" i="5"/>
  <c r="L21" i="5"/>
  <c r="N36" i="5"/>
  <c r="L25" i="5"/>
  <c r="M24" i="5"/>
  <c r="O27" i="5"/>
  <c r="M19" i="5"/>
  <c r="L22" i="5"/>
  <c r="K30" i="5"/>
  <c r="L19" i="5"/>
  <c r="P34" i="5"/>
  <c r="K31" i="5"/>
  <c r="Q36" i="5"/>
  <c r="L27" i="5"/>
  <c r="N29" i="5"/>
  <c r="K34" i="5"/>
  <c r="Q22" i="5"/>
  <c r="Q30" i="5"/>
  <c r="O14" i="5"/>
  <c r="K20" i="5"/>
  <c r="K25" i="5"/>
  <c r="L38" i="5"/>
  <c r="L34" i="5"/>
  <c r="O29" i="5"/>
  <c r="L30" i="5"/>
  <c r="Q31" i="5"/>
  <c r="O32" i="5"/>
  <c r="M20" i="5"/>
  <c r="Q42" i="5"/>
  <c r="P14" i="5"/>
  <c r="O9" i="5"/>
  <c r="N30" i="5"/>
  <c r="O19" i="5"/>
  <c r="O44" i="5"/>
  <c r="M36" i="5"/>
  <c r="P20" i="5"/>
  <c r="P35" i="5"/>
  <c r="M26" i="5"/>
  <c r="Q35" i="5"/>
  <c r="Q38" i="5"/>
  <c r="P28" i="5"/>
  <c r="Q43" i="5"/>
  <c r="P33" i="5"/>
  <c r="O24" i="5"/>
  <c r="M28" i="5"/>
  <c r="O36" i="5"/>
  <c r="P25" i="5"/>
  <c r="P22" i="5"/>
  <c r="L37" i="5"/>
  <c r="P10" i="5"/>
  <c r="M29" i="5"/>
  <c r="M33" i="5"/>
  <c r="L45" i="5"/>
  <c r="Q32" i="5"/>
  <c r="N20" i="5"/>
  <c r="Q45" i="5"/>
  <c r="N35" i="5"/>
  <c r="K33" i="5"/>
  <c r="L32" i="5"/>
  <c r="O38" i="5"/>
  <c r="N27" i="5"/>
  <c r="Q26" i="5"/>
  <c r="N44" i="5"/>
  <c r="N32" i="5"/>
  <c r="N23" i="5"/>
  <c r="O34" i="5"/>
  <c r="K29" i="5"/>
  <c r="N33" i="5"/>
  <c r="Q12" i="5"/>
  <c r="K9" i="5"/>
  <c r="P37" i="5"/>
  <c r="Q27" i="5"/>
  <c r="L28" i="5"/>
  <c r="O42" i="5"/>
  <c r="O31" i="5"/>
  <c r="L20" i="5"/>
  <c r="L35" i="5"/>
  <c r="O43" i="5"/>
  <c r="Q24" i="5"/>
  <c r="K28" i="5"/>
  <c r="Q44" i="5"/>
  <c r="Q34" i="5"/>
  <c r="L26" i="5"/>
  <c r="L23" i="5"/>
  <c r="K45" i="5"/>
  <c r="L31" i="5"/>
  <c r="O21" i="5"/>
  <c r="P45" i="5"/>
  <c r="O33" i="5"/>
  <c r="N24" i="5"/>
  <c r="O25" i="5"/>
  <c r="K38" i="5"/>
  <c r="M18" i="5"/>
  <c r="M9" i="5"/>
  <c r="M17" i="5"/>
  <c r="K7" i="5"/>
  <c r="K13" i="5"/>
  <c r="Q15" i="5"/>
  <c r="N15" i="5"/>
  <c r="L15" i="5"/>
  <c r="N16" i="5"/>
  <c r="O18" i="5"/>
  <c r="O17" i="5"/>
  <c r="O16" i="5"/>
  <c r="P3" i="5"/>
  <c r="Q4" i="5"/>
  <c r="K6" i="5"/>
  <c r="L7" i="5"/>
  <c r="M8" i="5"/>
  <c r="M14" i="5"/>
  <c r="O10" i="5"/>
  <c r="O11" i="5"/>
  <c r="N3" i="5"/>
  <c r="L8" i="5"/>
  <c r="P18" i="5"/>
  <c r="P17" i="5"/>
  <c r="Q3" i="5"/>
  <c r="K5" i="5"/>
  <c r="L6" i="5"/>
  <c r="M7" i="5"/>
  <c r="N8" i="5"/>
  <c r="K14" i="5"/>
  <c r="O13" i="5"/>
  <c r="M12" i="5"/>
  <c r="K15" i="5"/>
  <c r="K16" i="5"/>
  <c r="K12" i="5"/>
  <c r="L18" i="5"/>
  <c r="L11" i="5"/>
  <c r="L10" i="5"/>
  <c r="N10" i="5"/>
  <c r="N18" i="5"/>
  <c r="N17" i="5"/>
  <c r="N9" i="5"/>
  <c r="N11" i="5"/>
  <c r="M6" i="5"/>
  <c r="N7" i="5"/>
  <c r="O8" i="5"/>
  <c r="N12" i="5"/>
  <c r="O15" i="5"/>
  <c r="L16" i="5"/>
  <c r="M10" i="5"/>
  <c r="P16" i="5"/>
  <c r="L17" i="5"/>
  <c r="L12" i="5"/>
  <c r="L14" i="5"/>
  <c r="L9" i="5"/>
  <c r="M16" i="5"/>
  <c r="Q11" i="5"/>
  <c r="Q10" i="5"/>
  <c r="Q18" i="5"/>
  <c r="Q17" i="5"/>
  <c r="Q16" i="5"/>
  <c r="L5" i="5"/>
  <c r="K3" i="5"/>
  <c r="L4" i="5"/>
  <c r="M5" i="5"/>
  <c r="N6" i="5"/>
  <c r="O7" i="5"/>
  <c r="P8" i="5"/>
  <c r="Q13" i="5"/>
  <c r="N14" i="5"/>
  <c r="M15" i="5"/>
  <c r="Q9" i="5"/>
  <c r="K18" i="5"/>
  <c r="K10" i="5"/>
  <c r="L3" i="5"/>
  <c r="M4" i="5"/>
  <c r="N5" i="5"/>
  <c r="O6" i="5"/>
  <c r="P7" i="5"/>
  <c r="Q8" i="5"/>
  <c r="P13" i="5"/>
  <c r="M13" i="5"/>
  <c r="P12" i="5"/>
  <c r="M11" i="5"/>
  <c r="P9" i="5"/>
  <c r="P11" i="5"/>
  <c r="J3" i="5"/>
  <c r="J8" i="5"/>
  <c r="J7" i="5"/>
  <c r="J6" i="5"/>
  <c r="J5" i="5"/>
  <c r="J4" i="5"/>
  <c r="J2" i="5"/>
  <c r="R62" i="5" s="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1" i="1"/>
  <c r="X202" i="1"/>
  <c r="X203" i="1"/>
  <c r="X204" i="1"/>
  <c r="X205" i="1"/>
  <c r="X206" i="1"/>
  <c r="X207" i="1"/>
  <c r="X208" i="1"/>
  <c r="X209" i="1"/>
  <c r="X210" i="1"/>
  <c r="X2" i="1"/>
  <c r="I58" i="5" l="1"/>
  <c r="Q58" i="5" s="1"/>
  <c r="I57" i="5"/>
  <c r="Q57" i="5" s="1"/>
  <c r="I56" i="5"/>
  <c r="Q56" i="5" s="1"/>
  <c r="H8" i="10"/>
  <c r="I8" i="10"/>
  <c r="G8" i="10"/>
  <c r="F48" i="5"/>
  <c r="N48" i="5" s="1"/>
  <c r="F47" i="5"/>
  <c r="N47" i="5" s="1"/>
  <c r="F46" i="5"/>
  <c r="N46" i="5" s="1"/>
  <c r="E53" i="5"/>
  <c r="M53" i="5" s="1"/>
  <c r="E52" i="5"/>
  <c r="M52" i="5" s="1"/>
  <c r="E51" i="5"/>
  <c r="M51" i="5" s="1"/>
  <c r="K8" i="10"/>
  <c r="L8" i="10"/>
  <c r="M8" i="10"/>
  <c r="F53" i="5"/>
  <c r="N53" i="5" s="1"/>
  <c r="F52" i="5"/>
  <c r="N52" i="5" s="1"/>
  <c r="F51" i="5"/>
  <c r="N51" i="5" s="1"/>
  <c r="E58" i="5"/>
  <c r="M58" i="5" s="1"/>
  <c r="E57" i="5"/>
  <c r="M57" i="5" s="1"/>
  <c r="E56" i="5"/>
  <c r="M56" i="5" s="1"/>
  <c r="E48" i="5"/>
  <c r="M48" i="5" s="1"/>
  <c r="E47" i="5"/>
  <c r="M47" i="5" s="1"/>
  <c r="E46" i="5"/>
  <c r="M46" i="5" s="1"/>
  <c r="R7" i="5"/>
  <c r="G47" i="5"/>
  <c r="O47" i="5" s="1"/>
  <c r="G46" i="5"/>
  <c r="O46" i="5" s="1"/>
  <c r="G48" i="5"/>
  <c r="O48" i="5" s="1"/>
  <c r="G53" i="5"/>
  <c r="O53" i="5" s="1"/>
  <c r="G52" i="5"/>
  <c r="O52" i="5" s="1"/>
  <c r="G51" i="5"/>
  <c r="O51" i="5" s="1"/>
  <c r="G58" i="5"/>
  <c r="O58" i="5" s="1"/>
  <c r="G57" i="5"/>
  <c r="O57" i="5" s="1"/>
  <c r="G56" i="5"/>
  <c r="O56" i="5" s="1"/>
  <c r="P8" i="10"/>
  <c r="O8" i="10"/>
  <c r="Q8" i="10"/>
  <c r="F58" i="5"/>
  <c r="N58" i="5" s="1"/>
  <c r="F57" i="5"/>
  <c r="N57" i="5" s="1"/>
  <c r="F56" i="5"/>
  <c r="N56" i="5" s="1"/>
  <c r="D58" i="5"/>
  <c r="L58" i="5" s="1"/>
  <c r="D57" i="5"/>
  <c r="L57" i="5" s="1"/>
  <c r="D56" i="5"/>
  <c r="L56" i="5" s="1"/>
  <c r="K9" i="10"/>
  <c r="L9" i="10"/>
  <c r="M9" i="10"/>
  <c r="C53" i="5"/>
  <c r="K53" i="5" s="1"/>
  <c r="C52" i="5"/>
  <c r="K52" i="5" s="1"/>
  <c r="C51" i="5"/>
  <c r="K51" i="5" s="1"/>
  <c r="J53" i="5"/>
  <c r="R53" i="5" s="1"/>
  <c r="J52" i="5"/>
  <c r="J51" i="5"/>
  <c r="R51" i="5" s="1"/>
  <c r="P9" i="10"/>
  <c r="O9" i="10"/>
  <c r="Q9" i="10"/>
  <c r="C58" i="5"/>
  <c r="K58" i="5" s="1"/>
  <c r="C57" i="5"/>
  <c r="K57" i="5" s="1"/>
  <c r="C56" i="5"/>
  <c r="K56" i="5" s="1"/>
  <c r="J58" i="5"/>
  <c r="J57" i="5"/>
  <c r="J56" i="5"/>
  <c r="G9" i="10"/>
  <c r="I9" i="10"/>
  <c r="H9" i="10"/>
  <c r="C48" i="5"/>
  <c r="C46" i="5"/>
  <c r="C47" i="5"/>
  <c r="H47" i="5"/>
  <c r="P47" i="5" s="1"/>
  <c r="H46" i="5"/>
  <c r="P46" i="5" s="1"/>
  <c r="H48" i="5"/>
  <c r="P48" i="5" s="1"/>
  <c r="H53" i="5"/>
  <c r="P53" i="5" s="1"/>
  <c r="H52" i="5"/>
  <c r="P52" i="5" s="1"/>
  <c r="H51" i="5"/>
  <c r="P51" i="5" s="1"/>
  <c r="D47" i="5"/>
  <c r="L47" i="5" s="1"/>
  <c r="D46" i="5"/>
  <c r="L46" i="5" s="1"/>
  <c r="D48" i="5"/>
  <c r="L48" i="5" s="1"/>
  <c r="I47" i="5"/>
  <c r="Q47" i="5" s="1"/>
  <c r="I46" i="5"/>
  <c r="Q46" i="5" s="1"/>
  <c r="I48" i="5"/>
  <c r="Q48" i="5" s="1"/>
  <c r="D53" i="5"/>
  <c r="L53" i="5" s="1"/>
  <c r="D52" i="5"/>
  <c r="L52" i="5" s="1"/>
  <c r="D51" i="5"/>
  <c r="L51" i="5" s="1"/>
  <c r="I53" i="5"/>
  <c r="Q53" i="5" s="1"/>
  <c r="I52" i="5"/>
  <c r="Q52" i="5" s="1"/>
  <c r="I51" i="5"/>
  <c r="Q51" i="5" s="1"/>
  <c r="H58" i="5"/>
  <c r="P58" i="5" s="1"/>
  <c r="H57" i="5"/>
  <c r="P57" i="5" s="1"/>
  <c r="H56" i="5"/>
  <c r="P56" i="5" s="1"/>
  <c r="R63" i="5"/>
  <c r="R45" i="5"/>
  <c r="R59" i="5"/>
  <c r="R64" i="5"/>
  <c r="G17" i="20"/>
  <c r="G23" i="20"/>
  <c r="G30" i="20" s="1"/>
  <c r="G24" i="20"/>
  <c r="K17" i="20"/>
  <c r="K23" i="20"/>
  <c r="K30" i="20" s="1"/>
  <c r="K24" i="20"/>
  <c r="C17" i="20"/>
  <c r="C23" i="20"/>
  <c r="C30" i="20" s="1"/>
  <c r="C24" i="20"/>
  <c r="N17" i="20"/>
  <c r="N23" i="20"/>
  <c r="N30" i="20" s="1"/>
  <c r="N24" i="20"/>
  <c r="N17" i="19"/>
  <c r="N23" i="19"/>
  <c r="N30" i="19" s="1"/>
  <c r="N24" i="19"/>
  <c r="K17" i="19"/>
  <c r="K23" i="19"/>
  <c r="K30" i="19" s="1"/>
  <c r="K24" i="19"/>
  <c r="C17" i="19"/>
  <c r="C23" i="19"/>
  <c r="C30" i="19" s="1"/>
  <c r="C24" i="19"/>
  <c r="G17" i="19"/>
  <c r="G23" i="19"/>
  <c r="G30" i="19" s="1"/>
  <c r="G24" i="19"/>
  <c r="C17" i="15"/>
  <c r="C23" i="15"/>
  <c r="C30" i="15" s="1"/>
  <c r="C24" i="15"/>
  <c r="N17" i="15"/>
  <c r="N23" i="15"/>
  <c r="N30" i="15" s="1"/>
  <c r="N24" i="15"/>
  <c r="K17" i="14"/>
  <c r="K23" i="14"/>
  <c r="K30" i="14" s="1"/>
  <c r="K24" i="14"/>
  <c r="G17" i="14"/>
  <c r="G23" i="14"/>
  <c r="G30" i="14" s="1"/>
  <c r="G24" i="14"/>
  <c r="N23" i="14"/>
  <c r="N30" i="14" s="1"/>
  <c r="K22" i="20"/>
  <c r="C17" i="18"/>
  <c r="C23" i="18"/>
  <c r="C30" i="18" s="1"/>
  <c r="C24" i="18"/>
  <c r="N17" i="18"/>
  <c r="N23" i="18"/>
  <c r="N30" i="18" s="1"/>
  <c r="N24" i="18"/>
  <c r="G17" i="18"/>
  <c r="G23" i="18"/>
  <c r="G30" i="18" s="1"/>
  <c r="G24" i="18"/>
  <c r="K17" i="18"/>
  <c r="K23" i="18"/>
  <c r="K30" i="18" s="1"/>
  <c r="K24" i="18"/>
  <c r="Q10" i="14"/>
  <c r="N17" i="14" s="1"/>
  <c r="C23" i="14"/>
  <c r="C30" i="14" s="1"/>
  <c r="C17" i="14"/>
  <c r="C24" i="14"/>
  <c r="C15" i="15"/>
  <c r="G15" i="14"/>
  <c r="N15" i="18"/>
  <c r="C15" i="19"/>
  <c r="K15" i="18"/>
  <c r="C15" i="18"/>
  <c r="G15" i="15"/>
  <c r="N15" i="15"/>
  <c r="G22" i="19"/>
  <c r="G29" i="19" s="1"/>
  <c r="G33" i="19" s="1"/>
  <c r="N15" i="20"/>
  <c r="C15" i="20"/>
  <c r="G15" i="19"/>
  <c r="K15" i="14"/>
  <c r="N15" i="19"/>
  <c r="K15" i="15"/>
  <c r="G15" i="20"/>
  <c r="G15" i="18"/>
  <c r="G22" i="20"/>
  <c r="G29" i="20" s="1"/>
  <c r="G33" i="20" s="1"/>
  <c r="K15" i="19"/>
  <c r="N15" i="14"/>
  <c r="K15" i="20"/>
  <c r="G22" i="18"/>
  <c r="G29" i="18" s="1"/>
  <c r="C15" i="14"/>
  <c r="R25" i="5"/>
  <c r="R52" i="5"/>
  <c r="R56" i="5"/>
  <c r="R57" i="5"/>
  <c r="R58" i="5"/>
  <c r="R14" i="5"/>
  <c r="R43" i="5"/>
  <c r="R19" i="5"/>
  <c r="R28" i="5"/>
  <c r="R60" i="5"/>
  <c r="R23" i="5"/>
  <c r="R31" i="5"/>
  <c r="R5" i="5"/>
  <c r="R10" i="5"/>
  <c r="R22" i="5"/>
  <c r="R61" i="5"/>
  <c r="R33" i="5"/>
  <c r="R8" i="5"/>
  <c r="R17" i="5"/>
  <c r="R35" i="5"/>
  <c r="R37" i="5"/>
  <c r="R3" i="5"/>
  <c r="R16" i="5"/>
  <c r="R30" i="5"/>
  <c r="R34" i="5"/>
  <c r="R26" i="5"/>
  <c r="R21" i="5"/>
  <c r="R29" i="5"/>
  <c r="R44" i="5"/>
  <c r="R27" i="5"/>
  <c r="R42" i="5"/>
  <c r="R20" i="5"/>
  <c r="R38" i="5"/>
  <c r="R36" i="5"/>
  <c r="R24" i="5"/>
  <c r="R4" i="5"/>
  <c r="R32" i="5"/>
  <c r="M2" i="5"/>
  <c r="R11" i="5"/>
  <c r="R9" i="5"/>
  <c r="R18" i="5"/>
  <c r="R12" i="5"/>
  <c r="R15" i="5"/>
  <c r="R13" i="5"/>
  <c r="R6" i="5"/>
  <c r="L2" i="5"/>
  <c r="Q2" i="5"/>
  <c r="K2" i="5"/>
  <c r="P2" i="5"/>
  <c r="O2" i="5"/>
  <c r="N2" i="5"/>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 i="1"/>
  <c r="Q61" i="10" l="1"/>
  <c r="M10" i="10"/>
  <c r="M60" i="10"/>
  <c r="J9" i="10"/>
  <c r="I16" i="10" s="1"/>
  <c r="G16" i="10"/>
  <c r="R9" i="10"/>
  <c r="Q16" i="10" s="1"/>
  <c r="P39" i="10"/>
  <c r="P61" i="10"/>
  <c r="M61" i="10"/>
  <c r="M38" i="10"/>
  <c r="L10" i="10"/>
  <c r="G10" i="10"/>
  <c r="J8" i="10"/>
  <c r="H15" i="10" s="1"/>
  <c r="D9" i="10"/>
  <c r="C9" i="10"/>
  <c r="E9" i="10"/>
  <c r="C39" i="5"/>
  <c r="C40" i="5"/>
  <c r="C41" i="5"/>
  <c r="Q39" i="10"/>
  <c r="P16" i="10"/>
  <c r="M39" i="10"/>
  <c r="Q60" i="10"/>
  <c r="Q10" i="10"/>
  <c r="L38" i="10"/>
  <c r="L60" i="10"/>
  <c r="N8" i="10"/>
  <c r="M15" i="10" s="1"/>
  <c r="K10" i="10"/>
  <c r="I10" i="10"/>
  <c r="D39" i="5"/>
  <c r="L39" i="5" s="1"/>
  <c r="D40" i="5"/>
  <c r="L40" i="5" s="1"/>
  <c r="D41" i="5"/>
  <c r="L41" i="5" s="1"/>
  <c r="L39" i="10"/>
  <c r="L61" i="10"/>
  <c r="N9" i="10"/>
  <c r="M16" i="10" s="1"/>
  <c r="P60" i="10"/>
  <c r="R8" i="10"/>
  <c r="P38" i="10"/>
  <c r="O10" i="10"/>
  <c r="H10" i="10"/>
  <c r="H39" i="5"/>
  <c r="P39" i="5" s="1"/>
  <c r="H40" i="5"/>
  <c r="P40" i="5" s="1"/>
  <c r="H41" i="5"/>
  <c r="P41" i="5" s="1"/>
  <c r="I39" i="5"/>
  <c r="Q39" i="5" s="1"/>
  <c r="I40" i="5"/>
  <c r="Q40" i="5" s="1"/>
  <c r="I41" i="5"/>
  <c r="Q41" i="5" s="1"/>
  <c r="E39" i="5"/>
  <c r="M39" i="5" s="1"/>
  <c r="E40" i="5"/>
  <c r="M40" i="5" s="1"/>
  <c r="E41" i="5"/>
  <c r="M41" i="5" s="1"/>
  <c r="J47" i="5"/>
  <c r="R47" i="5" s="1"/>
  <c r="K47" i="5"/>
  <c r="Q38" i="10"/>
  <c r="P10" i="10"/>
  <c r="E8" i="10"/>
  <c r="C8" i="10"/>
  <c r="D8" i="10"/>
  <c r="F40" i="5"/>
  <c r="N40" i="5" s="1"/>
  <c r="F41" i="5"/>
  <c r="N41" i="5" s="1"/>
  <c r="F39" i="5"/>
  <c r="N39" i="5" s="1"/>
  <c r="J46" i="5"/>
  <c r="R46" i="5" s="1"/>
  <c r="K46" i="5"/>
  <c r="G41" i="5"/>
  <c r="O41" i="5" s="1"/>
  <c r="G39" i="5"/>
  <c r="O39" i="5" s="1"/>
  <c r="G40" i="5"/>
  <c r="O40" i="5" s="1"/>
  <c r="J48" i="5"/>
  <c r="R48" i="5" s="1"/>
  <c r="K48" i="5"/>
  <c r="G33" i="18"/>
  <c r="G34" i="18" s="1"/>
  <c r="N24" i="14"/>
  <c r="Q17" i="14"/>
  <c r="Q24" i="14"/>
  <c r="O24" i="14"/>
  <c r="P24" i="14"/>
  <c r="O17" i="14"/>
  <c r="Q22" i="14"/>
  <c r="O23" i="14"/>
  <c r="O30" i="14" s="1"/>
  <c r="P17" i="14"/>
  <c r="P22" i="14"/>
  <c r="P29" i="14" s="1"/>
  <c r="O22" i="14"/>
  <c r="O29" i="14" s="1"/>
  <c r="P23" i="14"/>
  <c r="P30" i="14" s="1"/>
  <c r="Q23" i="14"/>
  <c r="G34" i="20"/>
  <c r="G34" i="19"/>
  <c r="N22" i="18"/>
  <c r="N29" i="18" s="1"/>
  <c r="N33" i="18" s="1"/>
  <c r="N22" i="14"/>
  <c r="N29" i="14" s="1"/>
  <c r="K22" i="14"/>
  <c r="K29" i="14" s="1"/>
  <c r="N22" i="20"/>
  <c r="N29" i="20" s="1"/>
  <c r="N33" i="20" s="1"/>
  <c r="C22" i="14"/>
  <c r="C29" i="14" s="1"/>
  <c r="D33" i="14" s="1"/>
  <c r="K22" i="19"/>
  <c r="K29" i="19" s="1"/>
  <c r="N22" i="15"/>
  <c r="N29" i="15" s="1"/>
  <c r="G22" i="14"/>
  <c r="G29" i="14" s="1"/>
  <c r="G33" i="14" s="1"/>
  <c r="K22" i="15"/>
  <c r="K29" i="15" s="1"/>
  <c r="C22" i="18"/>
  <c r="C29" i="18" s="1"/>
  <c r="D33" i="18" s="1"/>
  <c r="K22" i="18"/>
  <c r="K29" i="18" s="1"/>
  <c r="C22" i="20"/>
  <c r="C29" i="20" s="1"/>
  <c r="D33" i="20" s="1"/>
  <c r="C22" i="19"/>
  <c r="C29" i="19" s="1"/>
  <c r="D33" i="19" s="1"/>
  <c r="C22" i="15"/>
  <c r="C29" i="15" s="1"/>
  <c r="K29" i="20"/>
  <c r="N22" i="19"/>
  <c r="N29" i="19" s="1"/>
  <c r="N33" i="19" s="1"/>
  <c r="G22" i="15"/>
  <c r="G29" i="15" s="1"/>
  <c r="R2" i="5"/>
  <c r="AB210" i="1"/>
  <c r="Q40" i="10" l="1"/>
  <c r="G15" i="10"/>
  <c r="R60" i="10"/>
  <c r="N61" i="10"/>
  <c r="Q62" i="10"/>
  <c r="J40" i="5"/>
  <c r="R40" i="5" s="1"/>
  <c r="K40" i="5"/>
  <c r="J39" i="5"/>
  <c r="R39" i="5" s="1"/>
  <c r="K39" i="5"/>
  <c r="M40" i="10"/>
  <c r="J16" i="10"/>
  <c r="P15" i="10"/>
  <c r="R10" i="10"/>
  <c r="P23" i="10" s="1"/>
  <c r="P30" i="10" s="1"/>
  <c r="R15" i="10"/>
  <c r="K16" i="10"/>
  <c r="K15" i="10"/>
  <c r="L16" i="10"/>
  <c r="E61" i="10"/>
  <c r="E38" i="10"/>
  <c r="D10" i="10"/>
  <c r="N16" i="10"/>
  <c r="K17" i="10"/>
  <c r="D61" i="10"/>
  <c r="D39" i="10"/>
  <c r="F9" i="10"/>
  <c r="C16" i="10" s="1"/>
  <c r="M62" i="10"/>
  <c r="L15" i="10"/>
  <c r="N10" i="10"/>
  <c r="K22" i="10" s="1"/>
  <c r="K29" i="10" s="1"/>
  <c r="N15" i="10"/>
  <c r="E39" i="10"/>
  <c r="O16" i="10"/>
  <c r="D60" i="10"/>
  <c r="D38" i="10"/>
  <c r="F8" i="10"/>
  <c r="D15" i="10" s="1"/>
  <c r="C10" i="10"/>
  <c r="E10" i="10"/>
  <c r="E60" i="10"/>
  <c r="O15" i="10"/>
  <c r="N39" i="10"/>
  <c r="L62" i="10"/>
  <c r="N60" i="10"/>
  <c r="P62" i="10"/>
  <c r="R61" i="10"/>
  <c r="L40" i="10"/>
  <c r="N38" i="10"/>
  <c r="H16" i="10"/>
  <c r="I15" i="10"/>
  <c r="J15" i="10"/>
  <c r="J10" i="10"/>
  <c r="I17" i="10" s="1"/>
  <c r="R39" i="10"/>
  <c r="R38" i="10"/>
  <c r="P40" i="10"/>
  <c r="Q15" i="10"/>
  <c r="J41" i="5"/>
  <c r="R41" i="5" s="1"/>
  <c r="K41" i="5"/>
  <c r="R16" i="10"/>
  <c r="K34" i="20"/>
  <c r="N33" i="15"/>
  <c r="N34" i="15" s="1"/>
  <c r="G33" i="15"/>
  <c r="G34" i="15" s="1"/>
  <c r="K34" i="15"/>
  <c r="D33" i="15"/>
  <c r="D34" i="15" s="1"/>
  <c r="N33" i="14"/>
  <c r="N34" i="14" s="1"/>
  <c r="K34" i="14"/>
  <c r="N34" i="20"/>
  <c r="N34" i="19"/>
  <c r="N34" i="18"/>
  <c r="D34" i="19"/>
  <c r="D34" i="14"/>
  <c r="D34" i="20"/>
  <c r="G34" i="14"/>
  <c r="K34" i="18"/>
  <c r="D34" i="18"/>
  <c r="K34" i="19"/>
  <c r="AB207" i="1"/>
  <c r="AB208" i="1"/>
  <c r="AB209" i="1"/>
  <c r="L22" i="10" l="1"/>
  <c r="L29" i="10" s="1"/>
  <c r="L23" i="10"/>
  <c r="L30" i="10" s="1"/>
  <c r="F60" i="10"/>
  <c r="N23" i="10"/>
  <c r="G22" i="10"/>
  <c r="G29" i="10" s="1"/>
  <c r="E15" i="10"/>
  <c r="M17" i="10"/>
  <c r="H22" i="10"/>
  <c r="H29" i="10" s="1"/>
  <c r="G17" i="10"/>
  <c r="I22" i="10"/>
  <c r="I29" i="10" s="1"/>
  <c r="E40" i="10"/>
  <c r="G23" i="10"/>
  <c r="G30" i="10" s="1"/>
  <c r="J22" i="10"/>
  <c r="C15" i="10"/>
  <c r="P17" i="10"/>
  <c r="R17" i="10"/>
  <c r="P24" i="10"/>
  <c r="Q24" i="10"/>
  <c r="R24" i="10"/>
  <c r="O24" i="10"/>
  <c r="O17" i="10"/>
  <c r="E62" i="10"/>
  <c r="L17" i="10"/>
  <c r="M24" i="10"/>
  <c r="N24" i="10"/>
  <c r="N17" i="10"/>
  <c r="L24" i="10"/>
  <c r="K24" i="10"/>
  <c r="F16" i="10"/>
  <c r="D16" i="10"/>
  <c r="F39" i="10"/>
  <c r="H23" i="10"/>
  <c r="H30" i="10" s="1"/>
  <c r="O23" i="10"/>
  <c r="O30" i="10" s="1"/>
  <c r="H24" i="10"/>
  <c r="I24" i="10"/>
  <c r="J24" i="10"/>
  <c r="G24" i="10"/>
  <c r="J17" i="10"/>
  <c r="D62" i="10"/>
  <c r="F61" i="10"/>
  <c r="F62" i="10" s="1"/>
  <c r="E66" i="10" s="1"/>
  <c r="E73" i="10" s="1"/>
  <c r="O22" i="10"/>
  <c r="O29" i="10" s="1"/>
  <c r="J23" i="10"/>
  <c r="N62" i="10"/>
  <c r="N66" i="10" s="1"/>
  <c r="Q23" i="10"/>
  <c r="Q30" i="10" s="1"/>
  <c r="F15" i="10"/>
  <c r="F10" i="10"/>
  <c r="F22" i="10" s="1"/>
  <c r="M22" i="10"/>
  <c r="M29" i="10" s="1"/>
  <c r="K23" i="10"/>
  <c r="K30" i="10" s="1"/>
  <c r="Q17" i="10"/>
  <c r="R22" i="10"/>
  <c r="I23" i="10"/>
  <c r="I30" i="10" s="1"/>
  <c r="R62" i="10"/>
  <c r="P67" i="10" s="1"/>
  <c r="P74" i="10" s="1"/>
  <c r="N40" i="10"/>
  <c r="N45" i="10" s="1"/>
  <c r="Q22" i="10"/>
  <c r="Q29" i="10" s="1"/>
  <c r="R40" i="10"/>
  <c r="R23" i="10"/>
  <c r="D40" i="10"/>
  <c r="F38" i="10"/>
  <c r="N22" i="10"/>
  <c r="H17" i="10"/>
  <c r="M23" i="10"/>
  <c r="M30" i="10" s="1"/>
  <c r="E16" i="10"/>
  <c r="P22" i="10"/>
  <c r="P29" i="10" s="1"/>
  <c r="AB206" i="1"/>
  <c r="AB205" i="1"/>
  <c r="G33" i="10" l="1"/>
  <c r="G34" i="10" s="1"/>
  <c r="L66" i="10"/>
  <c r="L73" i="10" s="1"/>
  <c r="M45" i="10"/>
  <c r="M52" i="10" s="1"/>
  <c r="D66" i="10"/>
  <c r="D73" i="10" s="1"/>
  <c r="K33" i="10"/>
  <c r="K34" i="10" s="1"/>
  <c r="M44" i="10"/>
  <c r="M51" i="10" s="1"/>
  <c r="N44" i="10"/>
  <c r="Q45" i="10"/>
  <c r="Q52" i="10" s="1"/>
  <c r="R46" i="10"/>
  <c r="P46" i="10"/>
  <c r="Q46" i="10"/>
  <c r="D23" i="10"/>
  <c r="D30" i="10" s="1"/>
  <c r="D24" i="10"/>
  <c r="E24" i="10"/>
  <c r="F24" i="10"/>
  <c r="F17" i="10"/>
  <c r="C24" i="10"/>
  <c r="E17" i="10"/>
  <c r="P45" i="10"/>
  <c r="P52" i="10" s="1"/>
  <c r="F66" i="10"/>
  <c r="F68" i="10"/>
  <c r="D68" i="10"/>
  <c r="E68" i="10"/>
  <c r="R67" i="10"/>
  <c r="Q67" i="10"/>
  <c r="Q74" i="10" s="1"/>
  <c r="C17" i="10"/>
  <c r="O33" i="10"/>
  <c r="O34" i="10" s="1"/>
  <c r="R45" i="10"/>
  <c r="Q44" i="10"/>
  <c r="Q51" i="10" s="1"/>
  <c r="L44" i="10"/>
  <c r="L51" i="10" s="1"/>
  <c r="M46" i="10"/>
  <c r="L46" i="10"/>
  <c r="N46" i="10"/>
  <c r="D17" i="10"/>
  <c r="C23" i="10"/>
  <c r="C30" i="10" s="1"/>
  <c r="F40" i="10"/>
  <c r="D44" i="10" s="1"/>
  <c r="D51" i="10" s="1"/>
  <c r="C22" i="10"/>
  <c r="C29" i="10" s="1"/>
  <c r="P44" i="10"/>
  <c r="P51" i="10" s="1"/>
  <c r="E22" i="10"/>
  <c r="E29" i="10" s="1"/>
  <c r="E67" i="10"/>
  <c r="E74" i="10" s="1"/>
  <c r="F67" i="10"/>
  <c r="D67" i="10"/>
  <c r="D74" i="10" s="1"/>
  <c r="F23" i="10"/>
  <c r="L45" i="10"/>
  <c r="L52" i="10" s="1"/>
  <c r="R44" i="10"/>
  <c r="P66" i="10"/>
  <c r="P73" i="10" s="1"/>
  <c r="P68" i="10"/>
  <c r="Q68" i="10"/>
  <c r="R68" i="10"/>
  <c r="Q66" i="10"/>
  <c r="Q73" i="10" s="1"/>
  <c r="R66" i="10"/>
  <c r="D22" i="10"/>
  <c r="D29" i="10" s="1"/>
  <c r="M66" i="10"/>
  <c r="M73" i="10" s="1"/>
  <c r="L68" i="10"/>
  <c r="M68" i="10"/>
  <c r="N68" i="10"/>
  <c r="L67" i="10"/>
  <c r="L74" i="10" s="1"/>
  <c r="N67" i="10"/>
  <c r="E23" i="10"/>
  <c r="E30" i="10" s="1"/>
  <c r="M67" i="10"/>
  <c r="M74" i="10" s="1"/>
  <c r="AB204" i="1"/>
  <c r="M77" i="10" l="1"/>
  <c r="M78" i="10" s="1"/>
  <c r="E77" i="10"/>
  <c r="E78" i="10" s="1"/>
  <c r="M55" i="10"/>
  <c r="M56" i="10" s="1"/>
  <c r="F46" i="10"/>
  <c r="D46" i="10"/>
  <c r="E46" i="10"/>
  <c r="Q55" i="10"/>
  <c r="Q56" i="10" s="1"/>
  <c r="D45" i="10"/>
  <c r="D52" i="10" s="1"/>
  <c r="E55" i="10" s="1"/>
  <c r="E56" i="10" s="1"/>
  <c r="D33" i="10"/>
  <c r="D34" i="10" s="1"/>
  <c r="Q77" i="10"/>
  <c r="Q78" i="10" s="1"/>
  <c r="F45" i="10"/>
  <c r="F44" i="10"/>
  <c r="E45" i="10"/>
  <c r="E52" i="10" s="1"/>
  <c r="E44" i="10"/>
  <c r="E51" i="10" s="1"/>
  <c r="AB203" i="1"/>
  <c r="AB202" i="1" l="1"/>
  <c r="AB2" i="1" l="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alcChain>
</file>

<file path=xl/comments1.xml><?xml version="1.0" encoding="utf-8"?>
<comments xmlns="http://schemas.openxmlformats.org/spreadsheetml/2006/main">
  <authors>
    <author>Author</author>
  </authors>
  <commentList>
    <comment ref="AL64" authorId="0" shapeId="0">
      <text>
        <r>
          <rPr>
            <b/>
            <sz val="9"/>
            <color indexed="81"/>
            <rFont val="Tahoma"/>
            <family val="2"/>
          </rPr>
          <t>Author:</t>
        </r>
        <r>
          <rPr>
            <sz val="9"/>
            <color indexed="81"/>
            <rFont val="Tahoma"/>
            <family val="2"/>
          </rPr>
          <t xml:space="preserve">
"Whilst we have answered YES to questions above, we were already leading the way with our sustainability efforts and indigenous connections before T.C. Debbie. The months after we simply stepped up our efforts"</t>
        </r>
      </text>
    </comment>
    <comment ref="AL68"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L86" authorId="0" shapeId="0">
      <text>
        <r>
          <rPr>
            <b/>
            <sz val="9"/>
            <color indexed="81"/>
            <rFont val="Tahoma"/>
            <family val="2"/>
          </rPr>
          <t>Author:</t>
        </r>
        <r>
          <rPr>
            <sz val="9"/>
            <color indexed="81"/>
            <rFont val="Tahoma"/>
            <family val="2"/>
          </rPr>
          <t xml:space="preserve">
manuel override excel code because operator selected 'other' as primary response but that only included sending some photos of the bleaching</t>
        </r>
      </text>
    </comment>
    <comment ref="AL88" authorId="0" shapeId="0">
      <text>
        <r>
          <rPr>
            <b/>
            <sz val="9"/>
            <color indexed="81"/>
            <rFont val="Tahoma"/>
            <family val="2"/>
          </rPr>
          <t>Author:</t>
        </r>
        <r>
          <rPr>
            <sz val="9"/>
            <color indexed="81"/>
            <rFont val="Tahoma"/>
            <family val="2"/>
          </rPr>
          <t xml:space="preserve">
manuel override excel code because operator didn’t select primary response but only responded using transformative change</t>
        </r>
      </text>
    </comment>
    <comment ref="AL92" authorId="0" shapeId="0">
      <text>
        <r>
          <rPr>
            <b/>
            <sz val="9"/>
            <color indexed="81"/>
            <rFont val="Tahoma"/>
            <family val="2"/>
          </rPr>
          <t>Author:</t>
        </r>
        <r>
          <rPr>
            <sz val="9"/>
            <color indexed="81"/>
            <rFont val="Tahoma"/>
            <family val="2"/>
          </rPr>
          <t xml:space="preserve">
manuel override excel code because operator selected 'other' as primary response but that included mainly beginning of reef monitoring activities (see Powerpoint)</t>
        </r>
      </text>
    </comment>
    <comment ref="AL101"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L160" authorId="0" shapeId="0">
      <text>
        <r>
          <rPr>
            <b/>
            <sz val="9"/>
            <color indexed="81"/>
            <rFont val="Tahoma"/>
            <family val="2"/>
          </rPr>
          <t>Author:</t>
        </r>
        <r>
          <rPr>
            <sz val="9"/>
            <color indexed="81"/>
            <rFont val="Tahoma"/>
            <family val="2"/>
          </rPr>
          <t xml:space="preserve">
manually override ‘other’ as primary response to ‘nrm’ and ‘transformative’ because all their responses were in transformative category </t>
        </r>
      </text>
    </comment>
    <comment ref="AL183" authorId="0" shapeId="0">
      <text>
        <r>
          <rPr>
            <b/>
            <sz val="9"/>
            <color indexed="81"/>
            <rFont val="Tahoma"/>
            <family val="2"/>
          </rPr>
          <t>Author:</t>
        </r>
        <r>
          <rPr>
            <sz val="9"/>
            <color indexed="81"/>
            <rFont val="Tahoma"/>
            <family val="2"/>
          </rPr>
          <t xml:space="preserve">
manually override from 'other' as primary response to 'none' because they mentioned they didn’t do anything within our timeframe
</t>
        </r>
      </text>
    </comment>
    <comment ref="K190" authorId="0" shapeId="0">
      <text>
        <r>
          <rPr>
            <b/>
            <sz val="9"/>
            <color indexed="81"/>
            <rFont val="Tahoma"/>
            <family val="2"/>
          </rPr>
          <t>Author:</t>
        </r>
        <r>
          <rPr>
            <sz val="9"/>
            <color indexed="81"/>
            <rFont val="Tahoma"/>
            <family val="2"/>
          </rPr>
          <t xml:space="preserve">
decrease but within same level (11)</t>
        </r>
      </text>
    </comment>
    <comment ref="N196" authorId="0" shapeId="0">
      <text>
        <r>
          <rPr>
            <b/>
            <sz val="9"/>
            <color indexed="81"/>
            <rFont val="Tahoma"/>
            <family val="2"/>
          </rPr>
          <t>Author:</t>
        </r>
        <r>
          <rPr>
            <sz val="9"/>
            <color indexed="81"/>
            <rFont val="Tahoma"/>
            <family val="2"/>
          </rPr>
          <t xml:space="preserve">
decrease but within same level (5)</t>
        </r>
      </text>
    </comment>
    <comment ref="AL196" authorId="0" shapeId="0">
      <text>
        <r>
          <rPr>
            <b/>
            <sz val="9"/>
            <color indexed="81"/>
            <rFont val="Tahoma"/>
            <family val="2"/>
          </rPr>
          <t>Author:</t>
        </r>
        <r>
          <rPr>
            <sz val="9"/>
            <color indexed="81"/>
            <rFont val="Tahoma"/>
            <family val="2"/>
          </rPr>
          <t xml:space="preserve">
manually override ‘no primary response selected’ to ‘nrm’ because they responded by both adaptive and transformative action but mentioned in 'other' response that they helped planted coral seedlings as response</t>
        </r>
      </text>
    </comment>
  </commentList>
</comments>
</file>

<file path=xl/comments2.xml><?xml version="1.0" encoding="utf-8"?>
<comments xmlns="http://schemas.openxmlformats.org/spreadsheetml/2006/main">
  <authors>
    <author>Author</author>
  </authors>
  <commentList>
    <comment ref="B6" authorId="0" shapeId="0">
      <text>
        <r>
          <rPr>
            <b/>
            <sz val="9"/>
            <color indexed="81"/>
            <rFont val="Tahoma"/>
            <family val="2"/>
          </rPr>
          <t>Author:</t>
        </r>
        <r>
          <rPr>
            <sz val="9"/>
            <color indexed="81"/>
            <rFont val="Tahoma"/>
            <family val="2"/>
          </rPr>
          <t xml:space="preserve">
includes QLD and WA</t>
        </r>
      </text>
    </comment>
    <comment ref="H6" authorId="0" shapeId="0">
      <text>
        <r>
          <rPr>
            <b/>
            <sz val="9"/>
            <color indexed="81"/>
            <rFont val="Tahoma"/>
            <family val="2"/>
          </rPr>
          <t>Author:</t>
        </r>
        <r>
          <rPr>
            <sz val="9"/>
            <color indexed="81"/>
            <rFont val="Tahoma"/>
            <family val="2"/>
          </rPr>
          <t xml:space="preserve">
Includes diversifications to products/services outside of tourism</t>
        </r>
      </text>
    </comment>
    <comment ref="B7" authorId="0" shapeId="0">
      <text>
        <r>
          <rPr>
            <b/>
            <sz val="9"/>
            <color indexed="81"/>
            <rFont val="Tahoma"/>
            <family val="2"/>
          </rPr>
          <t>Author:</t>
        </r>
        <r>
          <rPr>
            <sz val="9"/>
            <color indexed="81"/>
            <rFont val="Tahoma"/>
            <family val="2"/>
          </rPr>
          <t xml:space="preserve">
includes Bali &amp; Gili</t>
        </r>
      </text>
    </comment>
    <comment ref="H9" authorId="0" shapeId="0">
      <text>
        <r>
          <rPr>
            <b/>
            <sz val="9"/>
            <color indexed="81"/>
            <rFont val="Tahoma"/>
            <family val="2"/>
          </rPr>
          <t>Author:</t>
        </r>
        <r>
          <rPr>
            <sz val="9"/>
            <color indexed="81"/>
            <rFont val="Tahoma"/>
            <family val="2"/>
          </rPr>
          <t xml:space="preserve">
= c_reefs+c_activities</t>
        </r>
      </text>
    </comment>
    <comment ref="B10" authorId="0" shapeId="0">
      <text>
        <r>
          <rPr>
            <b/>
            <sz val="9"/>
            <color indexed="81"/>
            <rFont val="Tahoma"/>
            <family val="2"/>
          </rPr>
          <t>Author:</t>
        </r>
        <r>
          <rPr>
            <sz val="9"/>
            <color indexed="81"/>
            <rFont val="Tahoma"/>
            <family val="2"/>
          </rPr>
          <t xml:space="preserve">
includes Guam and Saipan</t>
        </r>
      </text>
    </comment>
    <comment ref="H10" authorId="0" shapeId="0">
      <text>
        <r>
          <rPr>
            <b/>
            <sz val="9"/>
            <color indexed="81"/>
            <rFont val="Tahoma"/>
            <family val="2"/>
          </rPr>
          <t>Author:</t>
        </r>
        <r>
          <rPr>
            <sz val="9"/>
            <color indexed="81"/>
            <rFont val="Tahoma"/>
            <family val="2"/>
          </rPr>
          <t xml:space="preserve">
Includes changes to logistics (for example the tour season), personnel, sales (for example a price change), or marketing</t>
        </r>
      </text>
    </comment>
    <comment ref="H11" authorId="0" shapeId="0">
      <text>
        <r>
          <rPr>
            <b/>
            <sz val="9"/>
            <color indexed="81"/>
            <rFont val="Tahoma"/>
            <family val="2"/>
          </rPr>
          <t>Author:</t>
        </r>
        <r>
          <rPr>
            <sz val="9"/>
            <color indexed="81"/>
            <rFont val="Tahoma"/>
            <family val="2"/>
          </rPr>
          <t xml:space="preserve">
includes enacting or participating in measures to improve the health of the coral reef (for example coral restoration) </t>
        </r>
      </text>
    </comment>
    <comment ref="H14" authorId="0" shapeId="0">
      <text>
        <r>
          <rPr>
            <b/>
            <sz val="9"/>
            <color indexed="81"/>
            <rFont val="Tahoma"/>
            <family val="2"/>
          </rPr>
          <t>Author:</t>
        </r>
        <r>
          <rPr>
            <sz val="9"/>
            <color indexed="81"/>
            <rFont val="Tahoma"/>
            <family val="2"/>
          </rPr>
          <t xml:space="preserve">
= insurance + monitor</t>
        </r>
      </text>
    </comment>
    <comment ref="B15" authorId="0" shapeId="0">
      <text>
        <r>
          <rPr>
            <b/>
            <sz val="9"/>
            <color indexed="81"/>
            <rFont val="Tahoma"/>
            <family val="2"/>
          </rPr>
          <t>Author:</t>
        </r>
        <r>
          <rPr>
            <sz val="9"/>
            <color indexed="81"/>
            <rFont val="Tahoma"/>
            <family val="2"/>
          </rPr>
          <t xml:space="preserve">
The World Bank, 2021. Worldwide Governance Indicators [WWW Document]. Governance. URL http://info.worldbank.org/governance/wgi/ (accessed 5.23.22)</t>
        </r>
      </text>
    </comment>
    <comment ref="H17" authorId="0" shapeId="0">
      <text>
        <r>
          <rPr>
            <b/>
            <sz val="9"/>
            <color indexed="81"/>
            <rFont val="Tahoma"/>
            <family val="2"/>
          </rPr>
          <t>Author:</t>
        </r>
        <r>
          <rPr>
            <sz val="9"/>
            <color indexed="81"/>
            <rFont val="Tahoma"/>
            <family val="2"/>
          </rPr>
          <t xml:space="preserve">
= sell + support</t>
        </r>
      </text>
    </comment>
    <comment ref="H18" authorId="0" shapeId="0">
      <text>
        <r>
          <rPr>
            <b/>
            <sz val="9"/>
            <color indexed="81"/>
            <rFont val="Tahoma"/>
            <family val="2"/>
          </rPr>
          <t>Author:</t>
        </r>
        <r>
          <rPr>
            <sz val="9"/>
            <color indexed="81"/>
            <rFont val="Tahoma"/>
            <family val="2"/>
          </rPr>
          <t xml:space="preserve">
includes enacting or participating in measures to reduce carbon dioxide (CO2) emissions of your company, your customers or your community</t>
        </r>
      </text>
    </comment>
    <comment ref="H19" authorId="0" shapeId="0">
      <text>
        <r>
          <rPr>
            <b/>
            <sz val="9"/>
            <color indexed="81"/>
            <rFont val="Tahoma"/>
            <family val="2"/>
          </rPr>
          <t>Author:</t>
        </r>
        <r>
          <rPr>
            <sz val="9"/>
            <color indexed="81"/>
            <rFont val="Tahoma"/>
            <family val="2"/>
          </rPr>
          <t xml:space="preserve">
This was not included in the survey but mentioned by a number of operators under 'other' responses category</t>
        </r>
      </text>
    </comment>
    <comment ref="H22" authorId="0" shapeId="0">
      <text>
        <r>
          <rPr>
            <b/>
            <sz val="9"/>
            <color indexed="81"/>
            <rFont val="Tahoma"/>
            <family val="2"/>
          </rPr>
          <t>Author:</t>
        </r>
        <r>
          <rPr>
            <sz val="9"/>
            <color indexed="81"/>
            <rFont val="Tahoma"/>
            <family val="2"/>
          </rPr>
          <t xml:space="preserve">
Includes diversifications to products/services outside of tourism</t>
        </r>
      </text>
    </comment>
    <comment ref="H25" authorId="0" shapeId="0">
      <text>
        <r>
          <rPr>
            <b/>
            <sz val="9"/>
            <color indexed="81"/>
            <rFont val="Tahoma"/>
            <family val="2"/>
          </rPr>
          <t>Author:</t>
        </r>
        <r>
          <rPr>
            <sz val="9"/>
            <color indexed="81"/>
            <rFont val="Tahoma"/>
            <family val="2"/>
          </rPr>
          <t xml:space="preserve">
Includes changes to logistics (for example the tour season), personnel, sales (for example a price change), or marketing</t>
        </r>
      </text>
    </comment>
    <comment ref="H26" authorId="0" shapeId="0">
      <text>
        <r>
          <rPr>
            <b/>
            <sz val="9"/>
            <color indexed="81"/>
            <rFont val="Tahoma"/>
            <family val="2"/>
          </rPr>
          <t>Author:</t>
        </r>
        <r>
          <rPr>
            <sz val="9"/>
            <color indexed="81"/>
            <rFont val="Tahoma"/>
            <family val="2"/>
          </rPr>
          <t xml:space="preserve">
includes enacting or participating in measures to improve the health of the coral reef (for example coral restoration) </t>
        </r>
      </text>
    </comment>
    <comment ref="B27" authorId="0" shapeId="0">
      <text>
        <r>
          <rPr>
            <b/>
            <sz val="9"/>
            <color indexed="81"/>
            <rFont val="Tahoma"/>
            <family val="2"/>
          </rPr>
          <t>Author:</t>
        </r>
        <r>
          <rPr>
            <sz val="9"/>
            <color indexed="81"/>
            <rFont val="Tahoma"/>
            <family val="2"/>
          </rPr>
          <t xml:space="preserve">
When there are two consecutive disturbances, I pick the highest percentage of any of the two events</t>
        </r>
      </text>
    </comment>
    <comment ref="H29" authorId="0" shapeId="0">
      <text>
        <r>
          <rPr>
            <b/>
            <sz val="9"/>
            <color indexed="81"/>
            <rFont val="Tahoma"/>
            <family val="2"/>
          </rPr>
          <t>Author:</t>
        </r>
        <r>
          <rPr>
            <sz val="9"/>
            <color indexed="81"/>
            <rFont val="Tahoma"/>
            <family val="2"/>
          </rPr>
          <t xml:space="preserve">
Includes selling property (for example boats, equipment, office); reducing workforce or relying on savings and seeking support from government, local community and/or relatives</t>
        </r>
      </text>
    </comment>
    <comment ref="H30" authorId="0" shapeId="0">
      <text>
        <r>
          <rPr>
            <b/>
            <sz val="9"/>
            <color indexed="81"/>
            <rFont val="Tahoma"/>
            <family val="2"/>
          </rPr>
          <t>Author:</t>
        </r>
        <r>
          <rPr>
            <sz val="9"/>
            <color indexed="81"/>
            <rFont val="Tahoma"/>
            <family val="2"/>
          </rPr>
          <t xml:space="preserve">
includes enacting or participating in measures to reduce carbon dioxide (CO2) emissions of your company, your customers or your community</t>
        </r>
      </text>
    </comment>
  </commentList>
</comments>
</file>

<file path=xl/comments3.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 ref="C54" authorId="0" shapeId="0">
      <text>
        <r>
          <rPr>
            <b/>
            <sz val="9"/>
            <color indexed="81"/>
            <rFont val="Tahoma"/>
            <family val="2"/>
          </rPr>
          <t>Author:</t>
        </r>
        <r>
          <rPr>
            <sz val="9"/>
            <color indexed="81"/>
            <rFont val="Tahoma"/>
            <family val="2"/>
          </rPr>
          <t xml:space="preserve">
= number of colums - 1 * number of rows - 1</t>
        </r>
      </text>
    </comment>
    <comment ref="K54" authorId="0" shapeId="0">
      <text>
        <r>
          <rPr>
            <b/>
            <sz val="9"/>
            <color indexed="81"/>
            <rFont val="Tahoma"/>
            <family val="2"/>
          </rPr>
          <t>Author:</t>
        </r>
        <r>
          <rPr>
            <sz val="9"/>
            <color indexed="81"/>
            <rFont val="Tahoma"/>
            <family val="2"/>
          </rPr>
          <t xml:space="preserve">
= number of colums - 1 * number of rows - 1</t>
        </r>
      </text>
    </comment>
    <comment ref="O54" authorId="0" shapeId="0">
      <text>
        <r>
          <rPr>
            <b/>
            <sz val="9"/>
            <color indexed="81"/>
            <rFont val="Tahoma"/>
            <family val="2"/>
          </rPr>
          <t>Author:</t>
        </r>
        <r>
          <rPr>
            <sz val="9"/>
            <color indexed="81"/>
            <rFont val="Tahoma"/>
            <family val="2"/>
          </rPr>
          <t xml:space="preserve">
= number of colums - 1 * number of rows - 1</t>
        </r>
      </text>
    </comment>
    <comment ref="C76" authorId="0" shapeId="0">
      <text>
        <r>
          <rPr>
            <b/>
            <sz val="9"/>
            <color indexed="81"/>
            <rFont val="Tahoma"/>
            <family val="2"/>
          </rPr>
          <t>Author:</t>
        </r>
        <r>
          <rPr>
            <sz val="9"/>
            <color indexed="81"/>
            <rFont val="Tahoma"/>
            <family val="2"/>
          </rPr>
          <t xml:space="preserve">
= number of colums - 1 * number of rows - 1</t>
        </r>
      </text>
    </comment>
    <comment ref="K76" authorId="0" shapeId="0">
      <text>
        <r>
          <rPr>
            <b/>
            <sz val="9"/>
            <color indexed="81"/>
            <rFont val="Tahoma"/>
            <family val="2"/>
          </rPr>
          <t>Author:</t>
        </r>
        <r>
          <rPr>
            <sz val="9"/>
            <color indexed="81"/>
            <rFont val="Tahoma"/>
            <family val="2"/>
          </rPr>
          <t xml:space="preserve">
= number of colums - 1 * number of rows - 1</t>
        </r>
      </text>
    </comment>
    <comment ref="O76"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4.xml><?xml version="1.0" encoding="utf-8"?>
<comments xmlns="http://schemas.openxmlformats.org/spreadsheetml/2006/main">
  <authors>
    <author>Author</author>
  </authors>
  <commentList>
    <comment ref="AM27" authorId="0" shapeId="0">
      <text>
        <r>
          <rPr>
            <b/>
            <sz val="9"/>
            <color indexed="81"/>
            <rFont val="Tahoma"/>
            <family val="2"/>
          </rPr>
          <t>Author:</t>
        </r>
        <r>
          <rPr>
            <sz val="9"/>
            <color indexed="81"/>
            <rFont val="Tahoma"/>
            <family val="2"/>
          </rPr>
          <t xml:space="preserve">
manuel override excel code because operator didn’t select primary response but only responded using transformative change</t>
        </r>
      </text>
    </comment>
    <comment ref="AM30" authorId="0" shapeId="0">
      <text>
        <r>
          <rPr>
            <b/>
            <sz val="9"/>
            <color indexed="81"/>
            <rFont val="Tahoma"/>
            <family val="2"/>
          </rPr>
          <t>Author:</t>
        </r>
        <r>
          <rPr>
            <sz val="9"/>
            <color indexed="81"/>
            <rFont val="Tahoma"/>
            <family val="2"/>
          </rPr>
          <t xml:space="preserve">
manuel override excel code because operator selected 'other' as primary response but that included mainly beginning of reef monitoring activities (see Powerpoint)</t>
        </r>
      </text>
    </comment>
    <comment ref="AM35"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M48" authorId="0" shapeId="0">
      <text>
        <r>
          <rPr>
            <b/>
            <sz val="9"/>
            <color indexed="81"/>
            <rFont val="Tahoma"/>
            <family val="2"/>
          </rPr>
          <t>Author:</t>
        </r>
        <r>
          <rPr>
            <sz val="9"/>
            <color indexed="81"/>
            <rFont val="Tahoma"/>
            <family val="2"/>
          </rPr>
          <t xml:space="preserve">
manually override ‘other’ as primary response to ‘nrm’ and ‘transformative’ because all their responses were in transformative category </t>
        </r>
      </text>
    </comment>
    <comment ref="AM54" authorId="0" shapeId="0">
      <text>
        <r>
          <rPr>
            <b/>
            <sz val="9"/>
            <color indexed="81"/>
            <rFont val="Tahoma"/>
            <family val="2"/>
          </rPr>
          <t>Author:</t>
        </r>
        <r>
          <rPr>
            <sz val="9"/>
            <color indexed="81"/>
            <rFont val="Tahoma"/>
            <family val="2"/>
          </rPr>
          <t xml:space="preserve">
manually override from 'other' as primary response to 'none' because they mentioned they didn’t do anything within our timeframe
</t>
        </r>
      </text>
    </comment>
  </commentList>
</comments>
</file>

<file path=xl/comments5.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 ref="B54" authorId="0" shapeId="0">
      <text>
        <r>
          <rPr>
            <b/>
            <sz val="9"/>
            <color indexed="81"/>
            <rFont val="Tahoma"/>
            <family val="2"/>
          </rPr>
          <t>Author:</t>
        </r>
        <r>
          <rPr>
            <sz val="9"/>
            <color indexed="81"/>
            <rFont val="Tahoma"/>
            <family val="2"/>
          </rPr>
          <t xml:space="preserve">
= number of colums - 1 * number of rows - 1</t>
        </r>
      </text>
    </comment>
    <comment ref="B76"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6.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 ref="B54" authorId="0" shapeId="0">
      <text>
        <r>
          <rPr>
            <b/>
            <sz val="9"/>
            <color indexed="81"/>
            <rFont val="Tahoma"/>
            <family val="2"/>
          </rPr>
          <t>Author:</t>
        </r>
        <r>
          <rPr>
            <sz val="9"/>
            <color indexed="81"/>
            <rFont val="Tahoma"/>
            <family val="2"/>
          </rPr>
          <t xml:space="preserve">
= number of colums - 1 * number of rows - 1</t>
        </r>
      </text>
    </comment>
    <comment ref="B76"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7.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8.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9.xml><?xml version="1.0" encoding="utf-8"?>
<comments xmlns="http://schemas.openxmlformats.org/spreadsheetml/2006/main">
  <authors>
    <author>Author</author>
  </authors>
  <commentList>
    <comment ref="AN46" authorId="0" shapeId="0">
      <text>
        <r>
          <rPr>
            <b/>
            <sz val="9"/>
            <color indexed="81"/>
            <rFont val="Tahoma"/>
            <family val="2"/>
          </rPr>
          <t>Author:</t>
        </r>
        <r>
          <rPr>
            <sz val="9"/>
            <color indexed="81"/>
            <rFont val="Tahoma"/>
            <family val="2"/>
          </rPr>
          <t xml:space="preserve">
"Whilst we have answered YES to questions above, we were already leading the way with our sustainability efforts and indigenous connections before T.C. Debbie. The months after we simply stepped up our efforts"</t>
        </r>
      </text>
    </comment>
    <comment ref="AN49"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N61" authorId="0" shapeId="0">
      <text>
        <r>
          <rPr>
            <b/>
            <sz val="9"/>
            <color indexed="81"/>
            <rFont val="Tahoma"/>
            <family val="2"/>
          </rPr>
          <t>Author:</t>
        </r>
        <r>
          <rPr>
            <sz val="9"/>
            <color indexed="81"/>
            <rFont val="Tahoma"/>
            <family val="2"/>
          </rPr>
          <t xml:space="preserve">
manuel override excel code because operator selected 'other' as primary response but that only included sending some photos of the bleaching</t>
        </r>
      </text>
    </comment>
    <comment ref="L136" authorId="0" shapeId="0">
      <text>
        <r>
          <rPr>
            <b/>
            <sz val="9"/>
            <color indexed="81"/>
            <rFont val="Tahoma"/>
            <family val="2"/>
          </rPr>
          <t>Author:</t>
        </r>
        <r>
          <rPr>
            <sz val="9"/>
            <color indexed="81"/>
            <rFont val="Tahoma"/>
            <family val="2"/>
          </rPr>
          <t xml:space="preserve">
decrease but within same level (11)</t>
        </r>
      </text>
    </comment>
    <comment ref="O141" authorId="0" shapeId="0">
      <text>
        <r>
          <rPr>
            <b/>
            <sz val="9"/>
            <color indexed="81"/>
            <rFont val="Tahoma"/>
            <family val="2"/>
          </rPr>
          <t>Author:</t>
        </r>
        <r>
          <rPr>
            <sz val="9"/>
            <color indexed="81"/>
            <rFont val="Tahoma"/>
            <family val="2"/>
          </rPr>
          <t xml:space="preserve">
decrease but within same level (5)</t>
        </r>
      </text>
    </comment>
    <comment ref="AN141" authorId="0" shapeId="0">
      <text>
        <r>
          <rPr>
            <b/>
            <sz val="9"/>
            <color indexed="81"/>
            <rFont val="Tahoma"/>
            <family val="2"/>
          </rPr>
          <t>Author:</t>
        </r>
        <r>
          <rPr>
            <sz val="9"/>
            <color indexed="81"/>
            <rFont val="Tahoma"/>
            <family val="2"/>
          </rPr>
          <t xml:space="preserve">
manually override ‘no primary response selected’ to ‘nrm’ because they responded by both adaptive and transformative action but mentioned in 'other' response that they helped planted coral seedlings as response</t>
        </r>
      </text>
    </comment>
  </commentList>
</comments>
</file>

<file path=xl/comments10.xml><?xml version="1.0" encoding="utf-8"?>
<comments xmlns="http://schemas.openxmlformats.org/spreadsheetml/2006/main">
  <authors>
    <author>Author</author>
  </authors>
  <commentList>
    <comment ref="AM42" authorId="0" shapeId="0">
      <text>
        <r>
          <rPr>
            <b/>
            <sz val="9"/>
            <color indexed="81"/>
            <rFont val="Tahoma"/>
            <family val="2"/>
          </rPr>
          <t>Author:</t>
        </r>
        <r>
          <rPr>
            <sz val="9"/>
            <color indexed="81"/>
            <rFont val="Tahoma"/>
            <family val="2"/>
          </rPr>
          <t xml:space="preserve">
manuel override excel code because operator selected 'other' as primary response but only responded using transformative change</t>
        </r>
      </text>
    </comment>
    <comment ref="AM54" authorId="0" shapeId="0">
      <text>
        <r>
          <rPr>
            <b/>
            <sz val="9"/>
            <color indexed="81"/>
            <rFont val="Tahoma"/>
            <family val="2"/>
          </rPr>
          <t>Author:</t>
        </r>
        <r>
          <rPr>
            <sz val="9"/>
            <color indexed="81"/>
            <rFont val="Tahoma"/>
            <family val="2"/>
          </rPr>
          <t xml:space="preserve">
manuel override excel code because operator selected 'other' as primary response but that only included sending some photos of the bleaching</t>
        </r>
      </text>
    </comment>
    <comment ref="O121" authorId="0" shapeId="0">
      <text>
        <r>
          <rPr>
            <b/>
            <sz val="9"/>
            <color indexed="81"/>
            <rFont val="Tahoma"/>
            <family val="2"/>
          </rPr>
          <t>Author:</t>
        </r>
        <r>
          <rPr>
            <sz val="9"/>
            <color indexed="81"/>
            <rFont val="Tahoma"/>
            <family val="2"/>
          </rPr>
          <t xml:space="preserve">
decrease but within same level (5)</t>
        </r>
      </text>
    </comment>
    <comment ref="AM121" authorId="0" shapeId="0">
      <text>
        <r>
          <rPr>
            <b/>
            <sz val="9"/>
            <color indexed="81"/>
            <rFont val="Tahoma"/>
            <family val="2"/>
          </rPr>
          <t>Author:</t>
        </r>
        <r>
          <rPr>
            <sz val="9"/>
            <color indexed="81"/>
            <rFont val="Tahoma"/>
            <family val="2"/>
          </rPr>
          <t xml:space="preserve">
manually override ‘no primary response selected’ to ‘nrm’ because they responded by both adaptive and transformative action but mentioned in 'other' response that they helped planted coral seedlings as response</t>
        </r>
      </text>
    </comment>
  </commentList>
</comments>
</file>

<file path=xl/comments11.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 ref="K54" authorId="0" shapeId="0">
      <text>
        <r>
          <rPr>
            <b/>
            <sz val="9"/>
            <color indexed="81"/>
            <rFont val="Tahoma"/>
            <family val="2"/>
          </rPr>
          <t>Author:</t>
        </r>
        <r>
          <rPr>
            <sz val="9"/>
            <color indexed="81"/>
            <rFont val="Tahoma"/>
            <family val="2"/>
          </rPr>
          <t xml:space="preserve">
= number of colums - 1 * number of rows - 1</t>
        </r>
      </text>
    </comment>
    <comment ref="K76"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2.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 ref="B54" authorId="0" shapeId="0">
      <text>
        <r>
          <rPr>
            <b/>
            <sz val="9"/>
            <color indexed="81"/>
            <rFont val="Tahoma"/>
            <family val="2"/>
          </rPr>
          <t>Author:</t>
        </r>
        <r>
          <rPr>
            <sz val="9"/>
            <color indexed="81"/>
            <rFont val="Tahoma"/>
            <family val="2"/>
          </rPr>
          <t xml:space="preserve">
= number of colums - 1 * number of rows - 1</t>
        </r>
      </text>
    </comment>
    <comment ref="B76"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3.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4.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5.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6.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 ref="G54" authorId="0" shapeId="0">
      <text>
        <r>
          <rPr>
            <b/>
            <sz val="9"/>
            <color indexed="81"/>
            <rFont val="Tahoma"/>
            <family val="2"/>
          </rPr>
          <t>Author:</t>
        </r>
        <r>
          <rPr>
            <sz val="9"/>
            <color indexed="81"/>
            <rFont val="Tahoma"/>
            <family val="2"/>
          </rPr>
          <t xml:space="preserve">
= number of colums - 1 * number of rows - 1</t>
        </r>
      </text>
    </comment>
    <comment ref="N54" authorId="0" shapeId="0">
      <text>
        <r>
          <rPr>
            <b/>
            <sz val="9"/>
            <color indexed="81"/>
            <rFont val="Tahoma"/>
            <family val="2"/>
          </rPr>
          <t>Author:</t>
        </r>
        <r>
          <rPr>
            <sz val="9"/>
            <color indexed="81"/>
            <rFont val="Tahoma"/>
            <family val="2"/>
          </rPr>
          <t xml:space="preserve">
= number of colums - 1 * number of rows - 1</t>
        </r>
      </text>
    </comment>
    <comment ref="G76" authorId="0" shapeId="0">
      <text>
        <r>
          <rPr>
            <b/>
            <sz val="9"/>
            <color indexed="81"/>
            <rFont val="Tahoma"/>
            <family val="2"/>
          </rPr>
          <t>Author:</t>
        </r>
        <r>
          <rPr>
            <sz val="9"/>
            <color indexed="81"/>
            <rFont val="Tahoma"/>
            <family val="2"/>
          </rPr>
          <t xml:space="preserve">
= number of colums - 1 * number of rows - 1</t>
        </r>
      </text>
    </comment>
    <comment ref="N76"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7.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18.xml><?xml version="1.0" encoding="utf-8"?>
<comments xmlns="http://schemas.openxmlformats.org/spreadsheetml/2006/main">
  <authors>
    <author>Author</author>
  </authors>
  <commentList>
    <comment ref="AM8" authorId="0" shapeId="0">
      <text>
        <r>
          <rPr>
            <b/>
            <sz val="9"/>
            <color indexed="81"/>
            <rFont val="Tahoma"/>
            <family val="2"/>
          </rPr>
          <t>Author:</t>
        </r>
        <r>
          <rPr>
            <sz val="9"/>
            <color indexed="81"/>
            <rFont val="Tahoma"/>
            <family val="2"/>
          </rPr>
          <t xml:space="preserve">
"Whilst we have answered YES to questions above, we were already leading the way with our sustainability efforts and indigenous connections before T.C. Debbie. The months after we simply stepped up our efforts"</t>
        </r>
      </text>
    </comment>
    <comment ref="L21" authorId="0" shapeId="0">
      <text>
        <r>
          <rPr>
            <b/>
            <sz val="9"/>
            <color indexed="81"/>
            <rFont val="Tahoma"/>
            <family val="2"/>
          </rPr>
          <t>Author:</t>
        </r>
        <r>
          <rPr>
            <sz val="9"/>
            <color indexed="81"/>
            <rFont val="Tahoma"/>
            <family val="2"/>
          </rPr>
          <t xml:space="preserve">
decrease but within same level (11)</t>
        </r>
      </text>
    </comment>
  </commentList>
</comments>
</file>

<file path=xl/comments19.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0.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1.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2.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3.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4.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5.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comments26.xml><?xml version="1.0" encoding="utf-8"?>
<comments xmlns="http://schemas.openxmlformats.org/spreadsheetml/2006/main">
  <authors>
    <author>Author</author>
  </authors>
  <commentList>
    <comment ref="B32" authorId="0" shapeId="0">
      <text>
        <r>
          <rPr>
            <b/>
            <sz val="9"/>
            <color indexed="81"/>
            <rFont val="Tahoma"/>
            <family val="2"/>
          </rPr>
          <t>Author:</t>
        </r>
        <r>
          <rPr>
            <sz val="9"/>
            <color indexed="81"/>
            <rFont val="Tahoma"/>
            <family val="2"/>
          </rPr>
          <t xml:space="preserve">
= number of colums - 1 * number of rows - 1</t>
        </r>
      </text>
    </comment>
  </commentList>
</comments>
</file>

<file path=xl/sharedStrings.xml><?xml version="1.0" encoding="utf-8"?>
<sst xmlns="http://schemas.openxmlformats.org/spreadsheetml/2006/main" count="5569" uniqueCount="283">
  <si>
    <t>location</t>
  </si>
  <si>
    <t>disturbance_type</t>
  </si>
  <si>
    <t>response_period</t>
  </si>
  <si>
    <t>disturbance_severity</t>
  </si>
  <si>
    <t>divbl</t>
  </si>
  <si>
    <t>divwl</t>
  </si>
  <si>
    <t>nrm</t>
  </si>
  <si>
    <t>protect</t>
  </si>
  <si>
    <t>relief</t>
  </si>
  <si>
    <t>co2</t>
  </si>
  <si>
    <t>code</t>
  </si>
  <si>
    <t>Variable / category</t>
  </si>
  <si>
    <t>Control factors</t>
  </si>
  <si>
    <t>French Polynesia</t>
  </si>
  <si>
    <t>fp</t>
  </si>
  <si>
    <t>Australia</t>
  </si>
  <si>
    <t>au</t>
  </si>
  <si>
    <t>Indonesia</t>
  </si>
  <si>
    <t>id</t>
  </si>
  <si>
    <t>Coral bleaching</t>
  </si>
  <si>
    <t>Cyclone</t>
  </si>
  <si>
    <t>None of reef sites had more than a third of area affected</t>
  </si>
  <si>
    <t>25% of reef sites had more than a third of area affected</t>
  </si>
  <si>
    <t>50% of reef sites had more than a third of area affected</t>
  </si>
  <si>
    <t>75% of reef sites had more than a third of area affected</t>
  </si>
  <si>
    <t>All of reef sites had more than a third of area affected</t>
  </si>
  <si>
    <t>responses</t>
  </si>
  <si>
    <t>Diversification between livelihoods</t>
  </si>
  <si>
    <t>Diversification within livelihood</t>
  </si>
  <si>
    <t>Changes in mode of operating</t>
  </si>
  <si>
    <t>Natural resource management</t>
  </si>
  <si>
    <t>Protective measures</t>
  </si>
  <si>
    <t>Relief measures</t>
  </si>
  <si>
    <t>Carbon emission reductions</t>
  </si>
  <si>
    <t>Most important response to disturbance</t>
  </si>
  <si>
    <t>Adaptive behavior</t>
  </si>
  <si>
    <t>Change of reef sites visited on tours</t>
  </si>
  <si>
    <t>Change of types of tours and activities offered</t>
  </si>
  <si>
    <t>insurance</t>
  </si>
  <si>
    <t>monitor</t>
  </si>
  <si>
    <t>Seek protection from risks (for example insurance)</t>
  </si>
  <si>
    <t xml:space="preserve">Beginning monitoring climate and/or reef conditions </t>
  </si>
  <si>
    <t>Other: Education of visitors about climate impacts</t>
  </si>
  <si>
    <t>educate</t>
  </si>
  <si>
    <t>No response to climate impacts</t>
  </si>
  <si>
    <t>Sell property, reduce workforce or rely on savings</t>
  </si>
  <si>
    <t>Seek support from government, community or relatives</t>
  </si>
  <si>
    <t>support</t>
  </si>
  <si>
    <t>sell</t>
  </si>
  <si>
    <t>resp_age</t>
  </si>
  <si>
    <t>respondent nationality</t>
  </si>
  <si>
    <t>respondent age</t>
  </si>
  <si>
    <t>aus</t>
  </si>
  <si>
    <t>35 - 44</t>
  </si>
  <si>
    <t>65+</t>
  </si>
  <si>
    <t>45 - 54</t>
  </si>
  <si>
    <t>55 - 64</t>
  </si>
  <si>
    <t>respondent gender</t>
  </si>
  <si>
    <t>respondent position</t>
  </si>
  <si>
    <t>25 - 34</t>
  </si>
  <si>
    <t>18 - 24</t>
  </si>
  <si>
    <t>jpn</t>
  </si>
  <si>
    <t>idn</t>
  </si>
  <si>
    <t>Adaptation outcomes</t>
  </si>
  <si>
    <t>Microeconomic</t>
  </si>
  <si>
    <t>Visitor-days: before disturbance</t>
  </si>
  <si>
    <t>Visitor-days: after disturbance</t>
  </si>
  <si>
    <t>Live coral coverage: before disturbance</t>
  </si>
  <si>
    <t>Live coral coverage: after disturbance</t>
  </si>
  <si>
    <t>Ties to other reef operators: before disturbance</t>
  </si>
  <si>
    <t>Ties to other reef operators: after disturbance</t>
  </si>
  <si>
    <t>Risk</t>
  </si>
  <si>
    <t>Perceived probability of being affected by disturbance: before disturbance</t>
  </si>
  <si>
    <t>Perceived probability of being affected by disturbance: after disturbance</t>
  </si>
  <si>
    <t>Vulnerability</t>
  </si>
  <si>
    <t>Perceived severity of disturbance on firm's revenue: before disturbance</t>
  </si>
  <si>
    <t>Perceived severity of disturbance on firm's revenue: after disturbance</t>
  </si>
  <si>
    <t>Visitor-days: change over time</t>
  </si>
  <si>
    <t>0 - 3 customers per day</t>
  </si>
  <si>
    <t>3 - 5 customers per day</t>
  </si>
  <si>
    <t>5 - 10 customers per day</t>
  </si>
  <si>
    <t>10 - 20 customers per day</t>
  </si>
  <si>
    <t>20 - 30 customers per day</t>
  </si>
  <si>
    <t>30 - 40 customers per day</t>
  </si>
  <si>
    <t>40 - 50 customers per day</t>
  </si>
  <si>
    <t>50 - 75 customers per day</t>
  </si>
  <si>
    <t>75 - 100 customers per day</t>
  </si>
  <si>
    <t>100 - 150 customers per day</t>
  </si>
  <si>
    <t>150 - 200 customers per day</t>
  </si>
  <si>
    <t>200 - 250 customers per day</t>
  </si>
  <si>
    <t>250 - 300 customers per day</t>
  </si>
  <si>
    <t>300 - 400 customers per day</t>
  </si>
  <si>
    <t>&gt;500 customers per day</t>
  </si>
  <si>
    <t>400 - 500 customers per day</t>
  </si>
  <si>
    <t>Live coral coverage: change over time</t>
  </si>
  <si>
    <t>0 - 10% cover</t>
  </si>
  <si>
    <t>10 - 20% cover</t>
  </si>
  <si>
    <t>20 - 30% cover</t>
  </si>
  <si>
    <t>30 - 40% cover</t>
  </si>
  <si>
    <t>40 - 50% cover</t>
  </si>
  <si>
    <t>50 - 60% cover</t>
  </si>
  <si>
    <t>60 - 70% cover</t>
  </si>
  <si>
    <t>70 - 80% cover</t>
  </si>
  <si>
    <t>80 - 90% cover</t>
  </si>
  <si>
    <t>90 - 100% cover</t>
  </si>
  <si>
    <t>Ties to other reef operators: change over time</t>
  </si>
  <si>
    <t>Weak ties (not much interaction)</t>
  </si>
  <si>
    <t>Moderate ties (some interaction)</t>
  </si>
  <si>
    <t>Strong ties (informal ties with key stakeholders)</t>
  </si>
  <si>
    <t>Perceived probability of being affected by disturbance: change over time</t>
  </si>
  <si>
    <t>Perceived severity of disturbance on firm's revenue: change over time</t>
  </si>
  <si>
    <t>very negatively affected</t>
  </si>
  <si>
    <t>somewhat negatively affected</t>
  </si>
  <si>
    <t>not affected</t>
  </si>
  <si>
    <t>somewhat positively affected</t>
  </si>
  <si>
    <t>0 - 20% chance</t>
  </si>
  <si>
    <t>20 - 40% chance</t>
  </si>
  <si>
    <t>40 - 60% chance</t>
  </si>
  <si>
    <t>60 - 80% chance</t>
  </si>
  <si>
    <t>80 - 100% chance</t>
  </si>
  <si>
    <t>Microeconomic change accredited to disturbance</t>
  </si>
  <si>
    <t>Not at all related to disturbance</t>
  </si>
  <si>
    <t>Somewhat related to disturbance</t>
  </si>
  <si>
    <t>Strongly related to disturbance</t>
  </si>
  <si>
    <t>(market) Externalities: Environmental</t>
  </si>
  <si>
    <t>(market) Externalities: Environmental: Social (collective action)</t>
  </si>
  <si>
    <t>(market) Externalities: Environmental accredited to disturbance</t>
  </si>
  <si>
    <t>jp</t>
  </si>
  <si>
    <t>resp_nation</t>
  </si>
  <si>
    <t>resp_gender</t>
  </si>
  <si>
    <t>resp_position</t>
  </si>
  <si>
    <t>dist_type</t>
  </si>
  <si>
    <t>dist_severity</t>
  </si>
  <si>
    <t>dist_bleach</t>
  </si>
  <si>
    <t>dist_cyclone</t>
  </si>
  <si>
    <t>Japan</t>
  </si>
  <si>
    <t>chgsites</t>
  </si>
  <si>
    <t>chgact</t>
  </si>
  <si>
    <t>chgopmode</t>
  </si>
  <si>
    <t>topresponse</t>
  </si>
  <si>
    <t>none</t>
  </si>
  <si>
    <t>other</t>
  </si>
  <si>
    <t>Something else</t>
  </si>
  <si>
    <t>visitors_pre</t>
  </si>
  <si>
    <t>visitors_post</t>
  </si>
  <si>
    <t>visitors_delta</t>
  </si>
  <si>
    <t>visitors_delta_dist</t>
  </si>
  <si>
    <t>coral_pre</t>
  </si>
  <si>
    <t>coral_post</t>
  </si>
  <si>
    <t>coral_delta</t>
  </si>
  <si>
    <t>coral_delta_dist</t>
  </si>
  <si>
    <t>operator_ties_pre</t>
  </si>
  <si>
    <t>operator_ties_post</t>
  </si>
  <si>
    <t>operator_ties_delta</t>
  </si>
  <si>
    <t>risk_pre</t>
  </si>
  <si>
    <t>risk_post</t>
  </si>
  <si>
    <t>risk_delta</t>
  </si>
  <si>
    <t>vulnerability_pre</t>
  </si>
  <si>
    <t>vulnerability_post</t>
  </si>
  <si>
    <t>vulnerability_delta</t>
  </si>
  <si>
    <t>eur</t>
  </si>
  <si>
    <t>resp_region</t>
  </si>
  <si>
    <t>nam</t>
  </si>
  <si>
    <t>fj</t>
  </si>
  <si>
    <t>mi</t>
  </si>
  <si>
    <t>hi</t>
  </si>
  <si>
    <t>male</t>
  </si>
  <si>
    <t>female</t>
  </si>
  <si>
    <t>Removed operator #45 and #146 because no data on outcomes (Australia)</t>
  </si>
  <si>
    <t>Removed 18 operators in Indonesia for 2019 bleaching event because of COVID overlap and only 6 months outcomes period (they were much more likely to experience visitor loss)</t>
  </si>
  <si>
    <t>gov_effect</t>
  </si>
  <si>
    <t>operator</t>
  </si>
  <si>
    <t>dist_market</t>
  </si>
  <si>
    <t>Removed operators #155 (ID) and #168 (JP) because they had missing data on both risk and vulnerability outcomes.</t>
  </si>
  <si>
    <t>n = 209 operators left</t>
  </si>
  <si>
    <t>n = 211 operators left</t>
  </si>
  <si>
    <t>treatment</t>
  </si>
  <si>
    <t>control</t>
  </si>
  <si>
    <t>Coral cover</t>
  </si>
  <si>
    <t>Visitor numbers</t>
  </si>
  <si>
    <t>total</t>
  </si>
  <si>
    <t>Expected value</t>
  </si>
  <si>
    <t>Coefficient (Chi-square)</t>
  </si>
  <si>
    <t>X2 (Chi-Square Score)</t>
  </si>
  <si>
    <t>p-value</t>
  </si>
  <si>
    <t>Degrees of freedom</t>
  </si>
  <si>
    <t>H0: Outcomes (change) independent from being affected or not</t>
  </si>
  <si>
    <t>H1: Outcomes (change) not independent from being affected or not</t>
  </si>
  <si>
    <t>Observed value (fraction)</t>
  </si>
  <si>
    <t>Observed value (#)</t>
  </si>
  <si>
    <t>Respondents</t>
  </si>
  <si>
    <t>ID</t>
  </si>
  <si>
    <t>AU</t>
  </si>
  <si>
    <t>JP</t>
  </si>
  <si>
    <t>MI</t>
  </si>
  <si>
    <t>FJ</t>
  </si>
  <si>
    <t>HI</t>
  </si>
  <si>
    <t>FP</t>
  </si>
  <si>
    <t>TOTAL</t>
  </si>
  <si>
    <t>Nationality (respondent)</t>
  </si>
  <si>
    <t>#</t>
  </si>
  <si>
    <t>Australian</t>
  </si>
  <si>
    <t>European</t>
  </si>
  <si>
    <t>Indonesian</t>
  </si>
  <si>
    <t>Japanese</t>
  </si>
  <si>
    <t>North American</t>
  </si>
  <si>
    <t>Other</t>
  </si>
  <si>
    <t>Gender (respondent)</t>
  </si>
  <si>
    <t>Age (respondent)</t>
  </si>
  <si>
    <t>Disturbance type</t>
  </si>
  <si>
    <t>bleaching</t>
  </si>
  <si>
    <t>cyclone</t>
  </si>
  <si>
    <t>Disturbance severity</t>
  </si>
  <si>
    <t>adaptation</t>
  </si>
  <si>
    <t>(1) chgsites</t>
  </si>
  <si>
    <t>(2) chgact</t>
  </si>
  <si>
    <t>(3) chgop</t>
  </si>
  <si>
    <t>(4) nrm</t>
  </si>
  <si>
    <t>(5) divbl</t>
  </si>
  <si>
    <t>(6) relief</t>
  </si>
  <si>
    <t>(7) support</t>
  </si>
  <si>
    <t>(8) risk</t>
  </si>
  <si>
    <t>(9) monitor</t>
  </si>
  <si>
    <t>(10) co2</t>
  </si>
  <si>
    <t>Risk (pre-disturbance)</t>
  </si>
  <si>
    <t>0 - 20%</t>
  </si>
  <si>
    <t>20 - 40%</t>
  </si>
  <si>
    <t>40 - 60%</t>
  </si>
  <si>
    <t>60 - 80%</t>
  </si>
  <si>
    <t>80 - 100%</t>
  </si>
  <si>
    <t>Risk (∆)</t>
  </si>
  <si>
    <t>Same</t>
  </si>
  <si>
    <t>Decrease</t>
  </si>
  <si>
    <t>Increase</t>
  </si>
  <si>
    <t>Vulnerability (pre-disturbance)</t>
  </si>
  <si>
    <t>very negatively</t>
  </si>
  <si>
    <t>somewhat negatively</t>
  </si>
  <si>
    <t>somewhat positively</t>
  </si>
  <si>
    <t>Vulnerability (∆)</t>
  </si>
  <si>
    <t>Median</t>
  </si>
  <si>
    <t>Median absolute deviation (MAD)</t>
  </si>
  <si>
    <t>Coral cover (∆)</t>
  </si>
  <si>
    <t>Visitors (∆)</t>
  </si>
  <si>
    <t>Visitors (pre-disturbance)</t>
  </si>
  <si>
    <t>Coral cover (pre-disturbance)</t>
  </si>
  <si>
    <t>weak</t>
  </si>
  <si>
    <t>moderate</t>
  </si>
  <si>
    <t>strong</t>
  </si>
  <si>
    <t>Operator ties (pre-disturbance)</t>
  </si>
  <si>
    <t>Operator ties (∆)</t>
  </si>
  <si>
    <t>chgsites (1)</t>
  </si>
  <si>
    <t>chgsites (0)</t>
  </si>
  <si>
    <t>chgact (1)</t>
  </si>
  <si>
    <t>chgact (0)</t>
  </si>
  <si>
    <t>chgop (1)</t>
  </si>
  <si>
    <t>chgop (0)</t>
  </si>
  <si>
    <t>nrm (1)</t>
  </si>
  <si>
    <t>nrm (0)</t>
  </si>
  <si>
    <t>divbl (1)</t>
  </si>
  <si>
    <t>divbl (0)</t>
  </si>
  <si>
    <t>relief (1)</t>
  </si>
  <si>
    <t>relief (0)</t>
  </si>
  <si>
    <t>support (1)</t>
  </si>
  <si>
    <t>support (0)</t>
  </si>
  <si>
    <t>monitor (1)</t>
  </si>
  <si>
    <t>monitor (0)</t>
  </si>
  <si>
    <t>co2 (1)</t>
  </si>
  <si>
    <t>co2 (0)</t>
  </si>
  <si>
    <t>topresponse_mn</t>
  </si>
  <si>
    <t>transform</t>
  </si>
  <si>
    <t>adaptive</t>
  </si>
  <si>
    <t>coping</t>
  </si>
  <si>
    <t>vulnerability_low</t>
  </si>
  <si>
    <t>same</t>
  </si>
  <si>
    <t>decrease</t>
  </si>
  <si>
    <t>increase</t>
  </si>
  <si>
    <t>Visitors</t>
  </si>
  <si>
    <t>same (or increase)</t>
  </si>
  <si>
    <t>Government effectiveness</t>
  </si>
  <si>
    <t>the Hawaiian Islands</t>
  </si>
  <si>
    <t>the Mariana Islands</t>
  </si>
  <si>
    <t>Fiji</t>
  </si>
  <si>
    <t>Level of institutional development in the country where reef operator is based (Kaufmann et al., 2011; The World Bank, 2021): We used data from the year 2014 for all countries because the first climate disturbance we studied occurred in 2014 in the Hawaiian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</si>
</sst>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6" x14ac:knownFonts="1">
    <font>
      <sz val="11"/>
      <color theme="1"/>
      <name val="Calibri"/>
      <family val="2"/>
      <scheme val="minor"/>
    </font>
    <font>
      <b/>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bgColor indexed="64"/>
      </patternFill>
    </fill>
    <fill>
      <patternFill patternType="solid">
        <fgColor theme="4" tint="0.39997558519241921"/>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49">
    <xf numFmtId="0" fontId="0" fillId="0" borderId="0" xfId="0"/>
    <xf numFmtId="9" fontId="0" fillId="0" borderId="0" xfId="0" applyNumberFormat="1"/>
    <xf numFmtId="1" fontId="0" fillId="0" borderId="0" xfId="0" applyNumberFormat="1"/>
    <xf numFmtId="0" fontId="1" fillId="0" borderId="0" xfId="0" applyFont="1"/>
    <xf numFmtId="1" fontId="1" fillId="0" borderId="0" xfId="0" applyNumberFormat="1" applyFont="1"/>
    <xf numFmtId="1" fontId="0" fillId="0" borderId="0" xfId="0" applyNumberFormat="1" applyFill="1"/>
    <xf numFmtId="0" fontId="2" fillId="0" borderId="0" xfId="0" applyFont="1"/>
    <xf numFmtId="0" fontId="0" fillId="0" borderId="0" xfId="0" applyFont="1"/>
    <xf numFmtId="164" fontId="0" fillId="0" borderId="0" xfId="0" applyNumberFormat="1"/>
    <xf numFmtId="0" fontId="0" fillId="0" borderId="0" xfId="0" applyFill="1"/>
    <xf numFmtId="0" fontId="5" fillId="0" borderId="0" xfId="0" applyFont="1"/>
    <xf numFmtId="0" fontId="1" fillId="0" borderId="0" xfId="0" applyFont="1" applyAlignment="1"/>
    <xf numFmtId="1" fontId="0" fillId="0" borderId="0" xfId="0" applyNumberFormat="1" applyFont="1"/>
    <xf numFmtId="2" fontId="0" fillId="0" borderId="0" xfId="0" applyNumberFormat="1"/>
    <xf numFmtId="2" fontId="1" fillId="0" borderId="0" xfId="0" applyNumberFormat="1" applyFont="1" applyFill="1"/>
    <xf numFmtId="2" fontId="1" fillId="0" borderId="0" xfId="0" applyNumberFormat="1" applyFont="1"/>
    <xf numFmtId="2" fontId="0" fillId="0" borderId="0" xfId="0" applyNumberFormat="1" applyFont="1"/>
    <xf numFmtId="0" fontId="2" fillId="0" borderId="0" xfId="0" applyFont="1" applyBorder="1"/>
    <xf numFmtId="0" fontId="0" fillId="0" borderId="0" xfId="0" applyBorder="1"/>
    <xf numFmtId="1" fontId="0" fillId="0" borderId="0" xfId="0" applyNumberFormat="1" applyBorder="1"/>
    <xf numFmtId="0" fontId="1" fillId="0" borderId="0" xfId="0" applyFont="1" applyBorder="1"/>
    <xf numFmtId="165" fontId="0" fillId="0" borderId="0" xfId="0" applyNumberFormat="1" applyBorder="1"/>
    <xf numFmtId="0" fontId="0" fillId="0" borderId="0" xfId="0" applyFill="1" applyBorder="1"/>
    <xf numFmtId="9" fontId="0" fillId="0" borderId="0" xfId="0" applyNumberFormat="1" applyBorder="1"/>
    <xf numFmtId="165" fontId="0" fillId="2" borderId="0" xfId="0" applyNumberFormat="1" applyFill="1"/>
    <xf numFmtId="0" fontId="1" fillId="0" borderId="0" xfId="0" applyFont="1" applyBorder="1" applyAlignment="1">
      <alignment horizontal="center"/>
    </xf>
    <xf numFmtId="9" fontId="0" fillId="3" borderId="0" xfId="0" applyNumberFormat="1" applyFill="1"/>
    <xf numFmtId="0" fontId="0" fillId="3" borderId="0" xfId="0" applyFill="1"/>
    <xf numFmtId="9" fontId="1" fillId="3" borderId="0" xfId="0" applyNumberFormat="1" applyFont="1" applyFill="1"/>
    <xf numFmtId="2" fontId="0" fillId="0" borderId="0" xfId="0" applyNumberFormat="1" applyBorder="1"/>
    <xf numFmtId="0" fontId="1" fillId="0" borderId="0" xfId="0" applyFont="1" applyBorder="1" applyAlignment="1">
      <alignment horizontal="center"/>
    </xf>
    <xf numFmtId="165" fontId="0" fillId="4" borderId="0" xfId="0" applyNumberFormat="1" applyFill="1"/>
    <xf numFmtId="165" fontId="0" fillId="0" borderId="0" xfId="0" applyNumberFormat="1" applyFill="1"/>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0" fillId="5" borderId="0" xfId="0" applyFill="1"/>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165" fontId="0" fillId="6" borderId="0" xfId="0" applyNumberFormat="1" applyFill="1"/>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1"/>
  <sheetViews>
    <sheetView tabSelected="1" workbookViewId="0">
      <selection activeCell="B11" sqref="B11"/>
    </sheetView>
  </sheetViews>
  <sheetFormatPr defaultRowHeight="14.5" x14ac:dyDescent="0.35"/>
  <sheetData>
    <row r="4" spans="2:2" x14ac:dyDescent="0.35">
      <c r="B4" t="s">
        <v>168</v>
      </c>
    </row>
    <row r="5" spans="2:2" x14ac:dyDescent="0.35">
      <c r="B5" t="s">
        <v>169</v>
      </c>
    </row>
    <row r="7" spans="2:2" x14ac:dyDescent="0.35">
      <c r="B7" t="s">
        <v>175</v>
      </c>
    </row>
    <row r="9" spans="2:2" x14ac:dyDescent="0.35">
      <c r="B9" t="s">
        <v>173</v>
      </c>
    </row>
    <row r="11" spans="2:2" x14ac:dyDescent="0.35">
      <c r="B11" t="s">
        <v>174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21"/>
  <sheetViews>
    <sheetView workbookViewId="0">
      <pane ySplit="1" topLeftCell="A161" activePane="bottomLeft" state="frozen"/>
      <selection pane="bottomLeft" activeCell="AL196" sqref="AL196"/>
    </sheetView>
  </sheetViews>
  <sheetFormatPr defaultRowHeight="14.5" x14ac:dyDescent="0.35"/>
  <cols>
    <col min="1" max="1" width="10.7265625" bestFit="1" customWidth="1"/>
    <col min="2" max="2" width="8.1796875" bestFit="1" customWidth="1"/>
    <col min="3" max="3" width="10.453125" bestFit="1" customWidth="1"/>
    <col min="4" max="5" width="11.54296875" bestFit="1" customWidth="1"/>
    <col min="6" max="6" width="9" bestFit="1" customWidth="1"/>
    <col min="7" max="7" width="12.1796875" bestFit="1" customWidth="1"/>
    <col min="8" max="8" width="9.26953125" bestFit="1" customWidth="1"/>
    <col min="9" max="9" width="12.453125" style="13" bestFit="1" customWidth="1"/>
    <col min="10" max="10" width="11.453125" style="2" bestFit="1" customWidth="1"/>
    <col min="11" max="11" width="12.26953125" bestFit="1" customWidth="1"/>
    <col min="12" max="12" width="12.26953125" customWidth="1"/>
    <col min="13" max="13" width="9.26953125" bestFit="1" customWidth="1"/>
    <col min="14" max="14" width="10.1796875" bestFit="1" customWidth="1"/>
    <col min="15" max="15" width="10.1796875" customWidth="1"/>
    <col min="16" max="16" width="17.26953125" bestFit="1" customWidth="1"/>
    <col min="17" max="17" width="18.1796875" bestFit="1" customWidth="1"/>
    <col min="18" max="18" width="18.1796875" customWidth="1"/>
    <col min="19" max="19" width="8.1796875" bestFit="1" customWidth="1"/>
    <col min="20" max="20" width="9" bestFit="1" customWidth="1"/>
    <col min="21" max="21" width="9" customWidth="1"/>
    <col min="22" max="22" width="16.453125" customWidth="1"/>
    <col min="23" max="24" width="17.453125" customWidth="1"/>
    <col min="25" max="25" width="14.54296875" style="2" customWidth="1"/>
    <col min="26" max="26" width="7.7265625" style="2" bestFit="1" customWidth="1"/>
    <col min="27" max="27" width="6.453125" style="2" bestFit="1" customWidth="1"/>
    <col min="28" max="28" width="5.26953125" style="2" bestFit="1" customWidth="1"/>
    <col min="29" max="29" width="10.81640625" style="2" bestFit="1" customWidth="1"/>
    <col min="30" max="30" width="10.453125" style="2" bestFit="1" customWidth="1"/>
    <col min="31" max="31" width="9" style="2" bestFit="1" customWidth="1"/>
    <col min="32" max="32" width="7.7265625" style="2" bestFit="1" customWidth="1"/>
    <col min="33" max="33" width="5.81640625" style="2" bestFit="1" customWidth="1"/>
    <col min="34" max="34" width="7.54296875" style="2" bestFit="1" customWidth="1"/>
    <col min="35" max="35" width="4.54296875" style="2" bestFit="1" customWidth="1"/>
    <col min="36" max="36" width="7.7265625" style="2" bestFit="1" customWidth="1"/>
    <col min="37" max="37" width="17.453125" bestFit="1" customWidth="1"/>
    <col min="38" max="38" width="12.1796875" bestFit="1" customWidth="1"/>
  </cols>
  <sheetData>
    <row r="1" spans="1:38" x14ac:dyDescent="0.35">
      <c r="A1" s="3" t="s">
        <v>171</v>
      </c>
      <c r="B1" s="3" t="s">
        <v>0</v>
      </c>
      <c r="C1" s="14" t="s">
        <v>170</v>
      </c>
      <c r="D1" s="14" t="s">
        <v>172</v>
      </c>
      <c r="E1" s="3" t="s">
        <v>161</v>
      </c>
      <c r="F1" s="3" t="s">
        <v>49</v>
      </c>
      <c r="G1" s="3" t="s">
        <v>129</v>
      </c>
      <c r="H1" s="3" t="s">
        <v>131</v>
      </c>
      <c r="I1" s="15" t="s">
        <v>132</v>
      </c>
      <c r="J1" s="4" t="s">
        <v>143</v>
      </c>
      <c r="K1" s="3" t="s">
        <v>144</v>
      </c>
      <c r="L1" s="3" t="s">
        <v>145</v>
      </c>
      <c r="M1" s="3" t="s">
        <v>147</v>
      </c>
      <c r="N1" s="3" t="s">
        <v>148</v>
      </c>
      <c r="O1" s="3" t="s">
        <v>149</v>
      </c>
      <c r="P1" s="3" t="s">
        <v>151</v>
      </c>
      <c r="Q1" s="3" t="s">
        <v>152</v>
      </c>
      <c r="R1" s="3" t="s">
        <v>153</v>
      </c>
      <c r="S1" s="3" t="s">
        <v>154</v>
      </c>
      <c r="T1" s="3" t="s">
        <v>155</v>
      </c>
      <c r="U1" s="3" t="s">
        <v>156</v>
      </c>
      <c r="V1" s="3" t="s">
        <v>157</v>
      </c>
      <c r="W1" s="3" t="s">
        <v>158</v>
      </c>
      <c r="X1" s="3" t="s">
        <v>159</v>
      </c>
      <c r="Y1" s="4" t="s">
        <v>4</v>
      </c>
      <c r="Z1" s="4" t="s">
        <v>136</v>
      </c>
      <c r="AA1" s="4" t="s">
        <v>137</v>
      </c>
      <c r="AB1" s="4" t="s">
        <v>5</v>
      </c>
      <c r="AC1" s="4" t="s">
        <v>138</v>
      </c>
      <c r="AD1" s="4" t="s">
        <v>6</v>
      </c>
      <c r="AE1" s="4" t="s">
        <v>38</v>
      </c>
      <c r="AF1" s="4" t="s">
        <v>39</v>
      </c>
      <c r="AG1" s="4" t="s">
        <v>8</v>
      </c>
      <c r="AH1" s="4" t="s">
        <v>47</v>
      </c>
      <c r="AI1" s="4" t="s">
        <v>9</v>
      </c>
      <c r="AJ1" s="4" t="s">
        <v>43</v>
      </c>
      <c r="AK1" s="3" t="s">
        <v>140</v>
      </c>
      <c r="AL1" s="3" t="s">
        <v>139</v>
      </c>
    </row>
    <row r="2" spans="1:38" x14ac:dyDescent="0.35">
      <c r="A2">
        <v>1</v>
      </c>
      <c r="B2" t="s">
        <v>18</v>
      </c>
      <c r="C2">
        <v>-0.04</v>
      </c>
      <c r="D2" s="9">
        <v>90</v>
      </c>
      <c r="E2" t="s">
        <v>160</v>
      </c>
      <c r="F2" t="s">
        <v>55</v>
      </c>
      <c r="G2" t="s">
        <v>166</v>
      </c>
      <c r="H2">
        <v>0</v>
      </c>
      <c r="I2" s="13">
        <v>0</v>
      </c>
      <c r="J2" s="2">
        <v>1</v>
      </c>
      <c r="K2">
        <v>1</v>
      </c>
      <c r="L2" s="2">
        <f>K2-J2</f>
        <v>0</v>
      </c>
      <c r="M2">
        <v>5</v>
      </c>
      <c r="N2">
        <v>5</v>
      </c>
      <c r="O2">
        <f>N2-M2</f>
        <v>0</v>
      </c>
      <c r="P2">
        <v>2</v>
      </c>
      <c r="Q2">
        <v>2</v>
      </c>
      <c r="R2">
        <f>Q2-P2</f>
        <v>0</v>
      </c>
      <c r="S2">
        <v>1</v>
      </c>
      <c r="T2">
        <v>1</v>
      </c>
      <c r="U2">
        <f>T2-S2</f>
        <v>0</v>
      </c>
      <c r="V2">
        <v>1</v>
      </c>
      <c r="W2">
        <v>1</v>
      </c>
      <c r="X2">
        <f>W2-V2</f>
        <v>0</v>
      </c>
      <c r="Y2" s="2">
        <v>0</v>
      </c>
      <c r="Z2" s="2">
        <v>0</v>
      </c>
      <c r="AA2" s="2">
        <v>0</v>
      </c>
      <c r="AB2">
        <f>IF(Z2+AA2&gt;0,1,0)</f>
        <v>0</v>
      </c>
      <c r="AC2" s="2">
        <v>0</v>
      </c>
      <c r="AD2" s="2">
        <v>1</v>
      </c>
      <c r="AE2" s="2">
        <v>0</v>
      </c>
      <c r="AF2" s="2">
        <v>1</v>
      </c>
      <c r="AG2" s="2">
        <v>0</v>
      </c>
      <c r="AH2" s="2">
        <v>0</v>
      </c>
      <c r="AI2" s="2">
        <v>0</v>
      </c>
      <c r="AJ2" s="2">
        <v>0</v>
      </c>
      <c r="AK2">
        <f>IF(Y2+Z2+AA2+AC2+AD2+AE2+AF2+AG2+AH2+AI2+AJ2=0,1,0)</f>
        <v>0</v>
      </c>
      <c r="AL2" s="9" t="s">
        <v>39</v>
      </c>
    </row>
    <row r="3" spans="1:38" x14ac:dyDescent="0.35">
      <c r="A3">
        <v>4</v>
      </c>
      <c r="B3" t="s">
        <v>18</v>
      </c>
      <c r="C3">
        <v>-0.04</v>
      </c>
      <c r="D3">
        <v>90</v>
      </c>
      <c r="E3" t="s">
        <v>162</v>
      </c>
      <c r="F3" t="s">
        <v>56</v>
      </c>
      <c r="G3" t="s">
        <v>166</v>
      </c>
      <c r="H3">
        <v>0</v>
      </c>
      <c r="I3" s="13">
        <v>0</v>
      </c>
      <c r="J3" s="2">
        <v>5</v>
      </c>
      <c r="K3">
        <v>5</v>
      </c>
      <c r="L3" s="2">
        <f t="shared" ref="L3:L66" si="0">K3-J3</f>
        <v>0</v>
      </c>
      <c r="M3">
        <v>9</v>
      </c>
      <c r="N3">
        <v>9</v>
      </c>
      <c r="O3">
        <f t="shared" ref="O3:O66" si="1">N3-M3</f>
        <v>0</v>
      </c>
      <c r="P3">
        <v>1</v>
      </c>
      <c r="Q3">
        <v>1</v>
      </c>
      <c r="R3">
        <f t="shared" ref="R3:R66" si="2">Q3-P3</f>
        <v>0</v>
      </c>
      <c r="S3">
        <v>1</v>
      </c>
      <c r="T3">
        <v>1</v>
      </c>
      <c r="U3">
        <f t="shared" ref="U3:U66" si="3">T3-S3</f>
        <v>0</v>
      </c>
      <c r="V3">
        <v>0</v>
      </c>
      <c r="W3">
        <v>0</v>
      </c>
      <c r="X3">
        <f t="shared" ref="X3:X66" si="4">W3-V3</f>
        <v>0</v>
      </c>
      <c r="Y3" s="2">
        <v>0</v>
      </c>
      <c r="Z3" s="2">
        <v>0</v>
      </c>
      <c r="AA3" s="2">
        <v>0</v>
      </c>
      <c r="AB3">
        <f t="shared" ref="AB3:AB56" si="5">IF(Z3+AA3&gt;0,1,0)</f>
        <v>0</v>
      </c>
      <c r="AC3" s="2">
        <v>0</v>
      </c>
      <c r="AD3" s="2">
        <v>0</v>
      </c>
      <c r="AE3" s="2">
        <v>0</v>
      </c>
      <c r="AF3" s="2">
        <v>0</v>
      </c>
      <c r="AG3" s="2">
        <v>0</v>
      </c>
      <c r="AH3" s="2">
        <v>0</v>
      </c>
      <c r="AI3" s="2">
        <v>0</v>
      </c>
      <c r="AJ3" s="2">
        <v>0</v>
      </c>
      <c r="AK3">
        <f t="shared" ref="AK3:AK66" si="6">IF(Y3+Z3+AA3+AC3+AD3+AE3+AF3+AG3+AH3+AI3+AJ3=0,1,0)</f>
        <v>1</v>
      </c>
      <c r="AL3" t="s">
        <v>140</v>
      </c>
    </row>
    <row r="4" spans="1:38" x14ac:dyDescent="0.35">
      <c r="A4">
        <v>5</v>
      </c>
      <c r="B4" t="s">
        <v>164</v>
      </c>
      <c r="C4">
        <v>0.44</v>
      </c>
      <c r="D4" s="2">
        <v>17</v>
      </c>
      <c r="E4" t="s">
        <v>162</v>
      </c>
      <c r="F4" t="s">
        <v>56</v>
      </c>
      <c r="G4" t="s">
        <v>166</v>
      </c>
      <c r="H4">
        <v>0</v>
      </c>
      <c r="I4" s="13">
        <v>0.5</v>
      </c>
      <c r="J4" s="2">
        <v>2</v>
      </c>
      <c r="K4">
        <v>3</v>
      </c>
      <c r="L4" s="2">
        <f t="shared" si="0"/>
        <v>1</v>
      </c>
      <c r="M4">
        <v>7</v>
      </c>
      <c r="N4">
        <v>5</v>
      </c>
      <c r="O4">
        <f t="shared" si="1"/>
        <v>-2</v>
      </c>
      <c r="P4">
        <v>1</v>
      </c>
      <c r="Q4">
        <v>1</v>
      </c>
      <c r="R4">
        <f t="shared" si="2"/>
        <v>0</v>
      </c>
      <c r="S4">
        <v>4</v>
      </c>
      <c r="T4">
        <v>4</v>
      </c>
      <c r="U4">
        <f t="shared" si="3"/>
        <v>0</v>
      </c>
      <c r="V4">
        <v>2</v>
      </c>
      <c r="W4">
        <v>2</v>
      </c>
      <c r="X4">
        <f t="shared" si="4"/>
        <v>0</v>
      </c>
      <c r="Y4" s="2">
        <v>0</v>
      </c>
      <c r="Z4" s="2">
        <v>1</v>
      </c>
      <c r="AA4" s="2">
        <v>0</v>
      </c>
      <c r="AB4">
        <f t="shared" si="5"/>
        <v>1</v>
      </c>
      <c r="AC4" s="2">
        <v>0</v>
      </c>
      <c r="AD4" s="2">
        <v>1</v>
      </c>
      <c r="AE4" s="2">
        <v>0</v>
      </c>
      <c r="AF4" s="2">
        <v>1</v>
      </c>
      <c r="AG4" s="2">
        <v>0</v>
      </c>
      <c r="AH4" s="2">
        <v>1</v>
      </c>
      <c r="AI4" s="2">
        <v>0</v>
      </c>
      <c r="AJ4" s="2">
        <v>0</v>
      </c>
      <c r="AK4">
        <f t="shared" si="6"/>
        <v>0</v>
      </c>
      <c r="AL4" t="s">
        <v>6</v>
      </c>
    </row>
    <row r="5" spans="1:38" x14ac:dyDescent="0.35">
      <c r="A5">
        <v>6</v>
      </c>
      <c r="B5" t="s">
        <v>18</v>
      </c>
      <c r="C5">
        <v>-0.04</v>
      </c>
      <c r="D5" s="2">
        <v>135</v>
      </c>
      <c r="E5" t="s">
        <v>162</v>
      </c>
      <c r="F5" t="s">
        <v>53</v>
      </c>
      <c r="G5" t="s">
        <v>166</v>
      </c>
      <c r="H5">
        <v>0</v>
      </c>
      <c r="I5" s="13">
        <v>0.25</v>
      </c>
      <c r="J5" s="2">
        <v>3</v>
      </c>
      <c r="K5">
        <v>3</v>
      </c>
      <c r="L5" s="2">
        <f t="shared" si="0"/>
        <v>0</v>
      </c>
      <c r="M5">
        <v>5</v>
      </c>
      <c r="N5">
        <v>5</v>
      </c>
      <c r="O5">
        <f t="shared" si="1"/>
        <v>0</v>
      </c>
      <c r="P5">
        <v>1</v>
      </c>
      <c r="Q5">
        <v>2</v>
      </c>
      <c r="R5">
        <f t="shared" si="2"/>
        <v>1</v>
      </c>
      <c r="S5">
        <v>4</v>
      </c>
      <c r="T5">
        <v>4</v>
      </c>
      <c r="U5">
        <f t="shared" si="3"/>
        <v>0</v>
      </c>
      <c r="V5">
        <v>1</v>
      </c>
      <c r="W5">
        <v>1</v>
      </c>
      <c r="X5">
        <f t="shared" si="4"/>
        <v>0</v>
      </c>
      <c r="Y5" s="2">
        <v>0</v>
      </c>
      <c r="Z5" s="2">
        <v>1</v>
      </c>
      <c r="AA5" s="2">
        <v>0</v>
      </c>
      <c r="AB5">
        <f t="shared" si="5"/>
        <v>1</v>
      </c>
      <c r="AC5" s="2">
        <v>0</v>
      </c>
      <c r="AD5" s="2">
        <v>0</v>
      </c>
      <c r="AE5" s="2">
        <v>0</v>
      </c>
      <c r="AF5" s="2">
        <v>1</v>
      </c>
      <c r="AG5" s="2">
        <v>0</v>
      </c>
      <c r="AH5" s="2">
        <v>0</v>
      </c>
      <c r="AI5" s="2">
        <v>0</v>
      </c>
      <c r="AJ5" s="2">
        <v>0</v>
      </c>
      <c r="AK5">
        <f t="shared" si="6"/>
        <v>0</v>
      </c>
      <c r="AL5" t="s">
        <v>136</v>
      </c>
    </row>
    <row r="6" spans="1:38" x14ac:dyDescent="0.35">
      <c r="A6">
        <v>8</v>
      </c>
      <c r="B6" t="s">
        <v>14</v>
      </c>
      <c r="C6">
        <v>1.42</v>
      </c>
      <c r="D6" s="2">
        <v>5</v>
      </c>
      <c r="E6" t="s">
        <v>61</v>
      </c>
      <c r="F6" t="s">
        <v>55</v>
      </c>
      <c r="G6" t="s">
        <v>167</v>
      </c>
      <c r="H6">
        <v>0</v>
      </c>
      <c r="I6" s="13">
        <v>0</v>
      </c>
      <c r="J6" s="2">
        <v>1</v>
      </c>
      <c r="K6">
        <v>1</v>
      </c>
      <c r="L6" s="2">
        <f t="shared" si="0"/>
        <v>0</v>
      </c>
      <c r="M6">
        <v>9</v>
      </c>
      <c r="N6">
        <v>9</v>
      </c>
      <c r="O6">
        <f t="shared" si="1"/>
        <v>0</v>
      </c>
      <c r="P6">
        <v>3</v>
      </c>
      <c r="Q6">
        <v>3</v>
      </c>
      <c r="R6">
        <f t="shared" si="2"/>
        <v>0</v>
      </c>
      <c r="S6">
        <v>3</v>
      </c>
      <c r="T6">
        <v>4</v>
      </c>
      <c r="U6">
        <f t="shared" si="3"/>
        <v>1</v>
      </c>
      <c r="V6">
        <v>1</v>
      </c>
      <c r="W6">
        <v>1</v>
      </c>
      <c r="X6">
        <f t="shared" si="4"/>
        <v>0</v>
      </c>
      <c r="Y6" s="2">
        <v>0</v>
      </c>
      <c r="Z6" s="2">
        <v>0</v>
      </c>
      <c r="AA6" s="2">
        <v>0</v>
      </c>
      <c r="AB6">
        <f t="shared" si="5"/>
        <v>0</v>
      </c>
      <c r="AC6" s="2">
        <v>0</v>
      </c>
      <c r="AD6" s="2">
        <v>0</v>
      </c>
      <c r="AE6" s="2">
        <v>0</v>
      </c>
      <c r="AF6" s="2">
        <v>0</v>
      </c>
      <c r="AG6" s="2">
        <v>0</v>
      </c>
      <c r="AH6" s="2">
        <v>0</v>
      </c>
      <c r="AI6" s="2">
        <v>0</v>
      </c>
      <c r="AJ6" s="2">
        <v>0</v>
      </c>
      <c r="AK6">
        <f t="shared" si="6"/>
        <v>1</v>
      </c>
      <c r="AL6" t="s">
        <v>140</v>
      </c>
    </row>
    <row r="7" spans="1:38" x14ac:dyDescent="0.35">
      <c r="A7">
        <v>11</v>
      </c>
      <c r="B7" t="s">
        <v>165</v>
      </c>
      <c r="C7">
        <v>1.47</v>
      </c>
      <c r="D7">
        <v>7</v>
      </c>
      <c r="E7" t="s">
        <v>162</v>
      </c>
      <c r="F7" t="s">
        <v>56</v>
      </c>
      <c r="G7" t="s">
        <v>166</v>
      </c>
      <c r="H7">
        <v>0</v>
      </c>
      <c r="I7" s="13">
        <v>1</v>
      </c>
      <c r="J7" s="2">
        <v>2</v>
      </c>
      <c r="K7">
        <v>1</v>
      </c>
      <c r="L7" s="2">
        <f t="shared" si="0"/>
        <v>-1</v>
      </c>
      <c r="M7">
        <v>9</v>
      </c>
      <c r="N7">
        <v>4</v>
      </c>
      <c r="O7">
        <f t="shared" si="1"/>
        <v>-5</v>
      </c>
      <c r="P7">
        <v>3</v>
      </c>
      <c r="Q7">
        <v>3</v>
      </c>
      <c r="R7">
        <f t="shared" si="2"/>
        <v>0</v>
      </c>
      <c r="S7">
        <v>1</v>
      </c>
      <c r="T7">
        <v>2</v>
      </c>
      <c r="U7">
        <f t="shared" si="3"/>
        <v>1</v>
      </c>
      <c r="V7">
        <v>1</v>
      </c>
      <c r="W7">
        <v>1</v>
      </c>
      <c r="X7">
        <f t="shared" si="4"/>
        <v>0</v>
      </c>
      <c r="Y7" s="5">
        <v>1</v>
      </c>
      <c r="Z7" s="5">
        <v>0</v>
      </c>
      <c r="AA7" s="5">
        <v>0</v>
      </c>
      <c r="AB7">
        <f t="shared" si="5"/>
        <v>0</v>
      </c>
      <c r="AC7" s="2">
        <v>0</v>
      </c>
      <c r="AD7" s="2">
        <v>0</v>
      </c>
      <c r="AE7" s="2">
        <v>0</v>
      </c>
      <c r="AF7" s="2">
        <v>1</v>
      </c>
      <c r="AG7" s="2">
        <v>0</v>
      </c>
      <c r="AH7" s="2">
        <v>0</v>
      </c>
      <c r="AI7" s="2">
        <v>0</v>
      </c>
      <c r="AJ7" s="2">
        <v>0</v>
      </c>
      <c r="AK7">
        <f t="shared" si="6"/>
        <v>0</v>
      </c>
      <c r="AL7" t="s">
        <v>4</v>
      </c>
    </row>
    <row r="8" spans="1:38" x14ac:dyDescent="0.35">
      <c r="A8">
        <v>12</v>
      </c>
      <c r="B8" t="s">
        <v>165</v>
      </c>
      <c r="C8">
        <v>1.47</v>
      </c>
      <c r="D8">
        <v>46</v>
      </c>
      <c r="E8" t="s">
        <v>162</v>
      </c>
      <c r="F8" t="s">
        <v>59</v>
      </c>
      <c r="G8" t="s">
        <v>166</v>
      </c>
      <c r="H8">
        <v>0</v>
      </c>
      <c r="I8" s="13">
        <v>0.5</v>
      </c>
      <c r="J8" s="2">
        <v>4</v>
      </c>
      <c r="K8">
        <v>4</v>
      </c>
      <c r="L8" s="2">
        <f t="shared" si="0"/>
        <v>0</v>
      </c>
      <c r="M8">
        <v>7</v>
      </c>
      <c r="N8">
        <v>7</v>
      </c>
      <c r="O8">
        <f t="shared" si="1"/>
        <v>0</v>
      </c>
      <c r="P8">
        <v>3</v>
      </c>
      <c r="Q8">
        <v>3</v>
      </c>
      <c r="R8">
        <f t="shared" si="2"/>
        <v>0</v>
      </c>
      <c r="S8">
        <v>2</v>
      </c>
      <c r="T8">
        <v>2</v>
      </c>
      <c r="U8">
        <f t="shared" si="3"/>
        <v>0</v>
      </c>
      <c r="V8">
        <v>2</v>
      </c>
      <c r="W8">
        <v>0</v>
      </c>
      <c r="X8">
        <f t="shared" si="4"/>
        <v>-2</v>
      </c>
      <c r="Y8" s="2">
        <v>0</v>
      </c>
      <c r="Z8" s="2">
        <v>1</v>
      </c>
      <c r="AA8" s="2">
        <v>0</v>
      </c>
      <c r="AB8">
        <f t="shared" si="5"/>
        <v>1</v>
      </c>
      <c r="AC8" s="2">
        <v>0</v>
      </c>
      <c r="AD8" s="2">
        <v>0</v>
      </c>
      <c r="AE8" s="2">
        <v>0</v>
      </c>
      <c r="AF8" s="2">
        <v>0</v>
      </c>
      <c r="AG8" s="2">
        <v>0</v>
      </c>
      <c r="AH8" s="2">
        <v>0</v>
      </c>
      <c r="AI8" s="2">
        <v>0</v>
      </c>
      <c r="AJ8" s="2">
        <v>0</v>
      </c>
      <c r="AK8">
        <f t="shared" si="6"/>
        <v>0</v>
      </c>
      <c r="AL8" t="s">
        <v>136</v>
      </c>
    </row>
    <row r="9" spans="1:38" x14ac:dyDescent="0.35">
      <c r="A9">
        <v>13</v>
      </c>
      <c r="B9" t="s">
        <v>14</v>
      </c>
      <c r="C9">
        <v>1.42</v>
      </c>
      <c r="D9" s="2">
        <v>4</v>
      </c>
      <c r="E9" t="s">
        <v>160</v>
      </c>
      <c r="F9" t="s">
        <v>55</v>
      </c>
      <c r="G9" t="s">
        <v>166</v>
      </c>
      <c r="H9">
        <v>0</v>
      </c>
      <c r="I9" s="13">
        <v>0.25</v>
      </c>
      <c r="J9" s="2">
        <v>2</v>
      </c>
      <c r="K9">
        <v>3</v>
      </c>
      <c r="L9" s="2">
        <f t="shared" si="0"/>
        <v>1</v>
      </c>
      <c r="M9">
        <v>2</v>
      </c>
      <c r="N9">
        <v>2</v>
      </c>
      <c r="O9">
        <f t="shared" si="1"/>
        <v>0</v>
      </c>
      <c r="P9">
        <v>1</v>
      </c>
      <c r="Q9">
        <v>1</v>
      </c>
      <c r="R9">
        <f t="shared" si="2"/>
        <v>0</v>
      </c>
      <c r="S9">
        <v>1</v>
      </c>
      <c r="T9">
        <v>1</v>
      </c>
      <c r="U9">
        <f t="shared" si="3"/>
        <v>0</v>
      </c>
      <c r="V9">
        <v>2</v>
      </c>
      <c r="W9">
        <v>2</v>
      </c>
      <c r="X9">
        <f t="shared" si="4"/>
        <v>0</v>
      </c>
      <c r="Y9" s="2">
        <v>0</v>
      </c>
      <c r="Z9" s="2">
        <v>0</v>
      </c>
      <c r="AA9" s="2">
        <v>0</v>
      </c>
      <c r="AB9">
        <f t="shared" si="5"/>
        <v>0</v>
      </c>
      <c r="AC9" s="2">
        <v>0</v>
      </c>
      <c r="AD9" s="2">
        <v>0</v>
      </c>
      <c r="AE9" s="2">
        <v>0</v>
      </c>
      <c r="AF9" s="2">
        <v>0</v>
      </c>
      <c r="AG9" s="2">
        <v>0</v>
      </c>
      <c r="AH9" s="2">
        <v>0</v>
      </c>
      <c r="AI9" s="2">
        <v>0</v>
      </c>
      <c r="AJ9" s="2">
        <v>0</v>
      </c>
      <c r="AK9">
        <f t="shared" si="6"/>
        <v>1</v>
      </c>
      <c r="AL9" t="s">
        <v>140</v>
      </c>
    </row>
    <row r="10" spans="1:38" x14ac:dyDescent="0.35">
      <c r="A10">
        <v>14</v>
      </c>
      <c r="B10" t="s">
        <v>164</v>
      </c>
      <c r="C10">
        <v>0.44</v>
      </c>
      <c r="D10" s="2">
        <v>4</v>
      </c>
      <c r="E10" t="s">
        <v>61</v>
      </c>
      <c r="F10" t="s">
        <v>53</v>
      </c>
      <c r="G10" t="s">
        <v>166</v>
      </c>
      <c r="H10">
        <v>0</v>
      </c>
      <c r="I10" s="13">
        <v>1</v>
      </c>
      <c r="J10" s="2">
        <v>3</v>
      </c>
      <c r="K10">
        <v>2</v>
      </c>
      <c r="L10" s="2">
        <f t="shared" si="0"/>
        <v>-1</v>
      </c>
      <c r="M10">
        <v>7</v>
      </c>
      <c r="N10">
        <v>3</v>
      </c>
      <c r="O10">
        <f t="shared" si="1"/>
        <v>-4</v>
      </c>
      <c r="P10">
        <v>2</v>
      </c>
      <c r="Q10">
        <v>2</v>
      </c>
      <c r="R10">
        <f t="shared" si="2"/>
        <v>0</v>
      </c>
      <c r="S10">
        <v>1</v>
      </c>
      <c r="T10">
        <v>3</v>
      </c>
      <c r="U10">
        <f t="shared" si="3"/>
        <v>2</v>
      </c>
      <c r="V10">
        <v>1</v>
      </c>
      <c r="W10">
        <v>1</v>
      </c>
      <c r="X10">
        <f t="shared" si="4"/>
        <v>0</v>
      </c>
      <c r="Y10" s="2">
        <v>0</v>
      </c>
      <c r="Z10" s="2">
        <v>0</v>
      </c>
      <c r="AA10" s="2">
        <v>0</v>
      </c>
      <c r="AB10">
        <f t="shared" si="5"/>
        <v>0</v>
      </c>
      <c r="AC10" s="2">
        <v>0</v>
      </c>
      <c r="AD10" s="2">
        <v>0</v>
      </c>
      <c r="AE10" s="2">
        <v>0</v>
      </c>
      <c r="AF10" s="2">
        <v>0</v>
      </c>
      <c r="AG10" s="2">
        <v>0</v>
      </c>
      <c r="AH10" s="2">
        <v>0</v>
      </c>
      <c r="AI10" s="2">
        <v>0</v>
      </c>
      <c r="AJ10" s="2">
        <v>0</v>
      </c>
      <c r="AK10">
        <f t="shared" si="6"/>
        <v>1</v>
      </c>
      <c r="AL10" t="s">
        <v>140</v>
      </c>
    </row>
    <row r="11" spans="1:38" x14ac:dyDescent="0.35">
      <c r="A11">
        <v>15</v>
      </c>
      <c r="B11" t="s">
        <v>18</v>
      </c>
      <c r="C11">
        <v>-0.04</v>
      </c>
      <c r="D11" s="2">
        <v>57</v>
      </c>
      <c r="E11" t="s">
        <v>160</v>
      </c>
      <c r="F11" t="s">
        <v>55</v>
      </c>
      <c r="G11" t="s">
        <v>166</v>
      </c>
      <c r="H11">
        <v>0</v>
      </c>
      <c r="I11" s="13">
        <v>0</v>
      </c>
      <c r="J11" s="2">
        <v>2</v>
      </c>
      <c r="K11">
        <v>2</v>
      </c>
      <c r="L11" s="2">
        <f t="shared" si="0"/>
        <v>0</v>
      </c>
      <c r="M11">
        <v>8</v>
      </c>
      <c r="N11">
        <v>8</v>
      </c>
      <c r="O11">
        <f t="shared" si="1"/>
        <v>0</v>
      </c>
      <c r="P11">
        <v>3</v>
      </c>
      <c r="Q11">
        <v>3</v>
      </c>
      <c r="R11">
        <f t="shared" si="2"/>
        <v>0</v>
      </c>
      <c r="S11">
        <v>1</v>
      </c>
      <c r="T11">
        <v>2</v>
      </c>
      <c r="U11">
        <f t="shared" si="3"/>
        <v>1</v>
      </c>
      <c r="V11">
        <v>1</v>
      </c>
      <c r="W11">
        <v>1</v>
      </c>
      <c r="X11">
        <f t="shared" si="4"/>
        <v>0</v>
      </c>
      <c r="Y11" s="2">
        <v>0</v>
      </c>
      <c r="Z11" s="2">
        <v>0</v>
      </c>
      <c r="AA11" s="2">
        <v>0</v>
      </c>
      <c r="AB11">
        <f t="shared" si="5"/>
        <v>0</v>
      </c>
      <c r="AC11" s="2">
        <v>0</v>
      </c>
      <c r="AD11" s="2">
        <v>1</v>
      </c>
      <c r="AE11" s="2">
        <v>0</v>
      </c>
      <c r="AF11" s="2">
        <v>1</v>
      </c>
      <c r="AG11" s="2">
        <v>0</v>
      </c>
      <c r="AH11" s="2">
        <v>0</v>
      </c>
      <c r="AI11" s="2">
        <v>1</v>
      </c>
      <c r="AJ11" s="2">
        <v>0</v>
      </c>
      <c r="AK11">
        <f t="shared" si="6"/>
        <v>0</v>
      </c>
      <c r="AL11" t="s">
        <v>140</v>
      </c>
    </row>
    <row r="12" spans="1:38" x14ac:dyDescent="0.35">
      <c r="A12">
        <v>16</v>
      </c>
      <c r="B12" t="s">
        <v>18</v>
      </c>
      <c r="C12">
        <v>-0.04</v>
      </c>
      <c r="D12" s="2">
        <v>13</v>
      </c>
      <c r="E12" t="s">
        <v>62</v>
      </c>
      <c r="F12" t="s">
        <v>55</v>
      </c>
      <c r="G12" t="s">
        <v>166</v>
      </c>
      <c r="H12">
        <v>0</v>
      </c>
      <c r="I12" s="13">
        <v>0.25</v>
      </c>
      <c r="J12" s="2">
        <v>3</v>
      </c>
      <c r="K12">
        <v>3</v>
      </c>
      <c r="L12" s="2">
        <f t="shared" si="0"/>
        <v>0</v>
      </c>
      <c r="M12">
        <v>8</v>
      </c>
      <c r="N12">
        <v>8</v>
      </c>
      <c r="O12">
        <f t="shared" si="1"/>
        <v>0</v>
      </c>
      <c r="P12">
        <v>1</v>
      </c>
      <c r="Q12">
        <v>1</v>
      </c>
      <c r="R12">
        <f t="shared" si="2"/>
        <v>0</v>
      </c>
      <c r="S12">
        <v>2</v>
      </c>
      <c r="T12">
        <v>2</v>
      </c>
      <c r="U12">
        <f t="shared" si="3"/>
        <v>0</v>
      </c>
      <c r="V12">
        <v>1</v>
      </c>
      <c r="W12">
        <v>1</v>
      </c>
      <c r="X12">
        <f t="shared" si="4"/>
        <v>0</v>
      </c>
      <c r="Y12" s="2">
        <v>1</v>
      </c>
      <c r="Z12" s="2">
        <v>1</v>
      </c>
      <c r="AA12" s="2">
        <v>1</v>
      </c>
      <c r="AB12">
        <f t="shared" si="5"/>
        <v>1</v>
      </c>
      <c r="AC12" s="2">
        <v>0</v>
      </c>
      <c r="AD12" s="2">
        <v>0</v>
      </c>
      <c r="AE12" s="2">
        <v>0</v>
      </c>
      <c r="AF12" s="2">
        <v>0</v>
      </c>
      <c r="AG12" s="2">
        <v>0</v>
      </c>
      <c r="AH12" s="2">
        <v>0</v>
      </c>
      <c r="AI12" s="2">
        <v>0</v>
      </c>
      <c r="AJ12" s="2">
        <v>0</v>
      </c>
      <c r="AK12">
        <f t="shared" si="6"/>
        <v>0</v>
      </c>
      <c r="AL12" t="s">
        <v>136</v>
      </c>
    </row>
    <row r="13" spans="1:38" x14ac:dyDescent="0.35">
      <c r="A13">
        <v>17</v>
      </c>
      <c r="B13" t="s">
        <v>18</v>
      </c>
      <c r="C13">
        <v>-0.04</v>
      </c>
      <c r="D13" s="2">
        <v>12</v>
      </c>
      <c r="E13" t="s">
        <v>62</v>
      </c>
      <c r="F13" t="s">
        <v>53</v>
      </c>
      <c r="G13" t="s">
        <v>166</v>
      </c>
      <c r="H13">
        <v>0</v>
      </c>
      <c r="I13" s="13">
        <v>0.25</v>
      </c>
      <c r="J13" s="2">
        <v>4</v>
      </c>
      <c r="K13">
        <v>4</v>
      </c>
      <c r="L13" s="2">
        <f t="shared" si="0"/>
        <v>0</v>
      </c>
      <c r="M13">
        <v>8</v>
      </c>
      <c r="N13">
        <v>8</v>
      </c>
      <c r="O13">
        <f t="shared" si="1"/>
        <v>0</v>
      </c>
      <c r="P13">
        <v>3</v>
      </c>
      <c r="Q13">
        <v>3</v>
      </c>
      <c r="R13">
        <f t="shared" si="2"/>
        <v>0</v>
      </c>
      <c r="S13">
        <v>1</v>
      </c>
      <c r="T13">
        <v>2</v>
      </c>
      <c r="U13">
        <f t="shared" si="3"/>
        <v>1</v>
      </c>
      <c r="V13">
        <v>1</v>
      </c>
      <c r="W13">
        <v>1</v>
      </c>
      <c r="X13">
        <f t="shared" si="4"/>
        <v>0</v>
      </c>
      <c r="Y13" s="2">
        <v>0</v>
      </c>
      <c r="Z13" s="2">
        <v>1</v>
      </c>
      <c r="AA13" s="2">
        <v>1</v>
      </c>
      <c r="AB13">
        <f t="shared" si="5"/>
        <v>1</v>
      </c>
      <c r="AC13" s="2">
        <v>1</v>
      </c>
      <c r="AD13" s="2">
        <v>1</v>
      </c>
      <c r="AE13" s="2">
        <v>0</v>
      </c>
      <c r="AF13" s="2">
        <v>1</v>
      </c>
      <c r="AG13" s="2">
        <v>0</v>
      </c>
      <c r="AH13" s="2">
        <v>0</v>
      </c>
      <c r="AI13" s="2">
        <v>1</v>
      </c>
      <c r="AJ13" s="2">
        <v>0</v>
      </c>
      <c r="AK13">
        <f t="shared" si="6"/>
        <v>0</v>
      </c>
      <c r="AL13" t="s">
        <v>9</v>
      </c>
    </row>
    <row r="14" spans="1:38" x14ac:dyDescent="0.35">
      <c r="A14">
        <v>19</v>
      </c>
      <c r="B14" t="s">
        <v>16</v>
      </c>
      <c r="C14">
        <v>1.61</v>
      </c>
      <c r="D14" s="2">
        <v>118</v>
      </c>
      <c r="E14" t="s">
        <v>52</v>
      </c>
      <c r="F14" t="s">
        <v>53</v>
      </c>
      <c r="G14" t="s">
        <v>167</v>
      </c>
      <c r="H14">
        <v>0</v>
      </c>
      <c r="I14" s="13">
        <v>0</v>
      </c>
      <c r="J14" s="2">
        <v>3</v>
      </c>
      <c r="K14">
        <v>3</v>
      </c>
      <c r="L14" s="2">
        <f t="shared" si="0"/>
        <v>0</v>
      </c>
      <c r="M14">
        <v>9</v>
      </c>
      <c r="N14">
        <v>9</v>
      </c>
      <c r="O14">
        <f t="shared" si="1"/>
        <v>0</v>
      </c>
      <c r="P14">
        <v>3</v>
      </c>
      <c r="Q14">
        <v>3</v>
      </c>
      <c r="R14">
        <f t="shared" si="2"/>
        <v>0</v>
      </c>
      <c r="S14">
        <v>1</v>
      </c>
      <c r="T14">
        <v>1</v>
      </c>
      <c r="U14">
        <f t="shared" si="3"/>
        <v>0</v>
      </c>
      <c r="V14">
        <v>1</v>
      </c>
      <c r="W14">
        <v>1</v>
      </c>
      <c r="X14">
        <f t="shared" si="4"/>
        <v>0</v>
      </c>
      <c r="Y14" s="2">
        <v>0</v>
      </c>
      <c r="Z14" s="5">
        <v>0</v>
      </c>
      <c r="AA14" s="5">
        <v>0</v>
      </c>
      <c r="AB14">
        <f t="shared" si="5"/>
        <v>0</v>
      </c>
      <c r="AC14" s="2">
        <v>0</v>
      </c>
      <c r="AD14" s="2">
        <v>0</v>
      </c>
      <c r="AE14" s="2">
        <v>0</v>
      </c>
      <c r="AF14" s="2">
        <v>0</v>
      </c>
      <c r="AG14" s="2">
        <v>0</v>
      </c>
      <c r="AH14" s="2">
        <v>0</v>
      </c>
      <c r="AI14" s="2">
        <v>0</v>
      </c>
      <c r="AJ14" s="2">
        <v>0</v>
      </c>
      <c r="AK14">
        <f t="shared" si="6"/>
        <v>1</v>
      </c>
      <c r="AL14" t="s">
        <v>140</v>
      </c>
    </row>
    <row r="15" spans="1:38" x14ac:dyDescent="0.35">
      <c r="A15">
        <v>20</v>
      </c>
      <c r="B15" t="s">
        <v>18</v>
      </c>
      <c r="C15">
        <v>-0.04</v>
      </c>
      <c r="D15" s="2">
        <v>60</v>
      </c>
      <c r="E15" t="s">
        <v>160</v>
      </c>
      <c r="F15" t="s">
        <v>53</v>
      </c>
      <c r="G15" t="s">
        <v>166</v>
      </c>
      <c r="H15">
        <v>0</v>
      </c>
      <c r="I15" s="13">
        <v>0.25</v>
      </c>
      <c r="J15" s="2">
        <v>5</v>
      </c>
      <c r="K15">
        <v>5</v>
      </c>
      <c r="L15" s="2">
        <f t="shared" si="0"/>
        <v>0</v>
      </c>
      <c r="M15">
        <v>9</v>
      </c>
      <c r="N15">
        <v>9</v>
      </c>
      <c r="O15">
        <f t="shared" si="1"/>
        <v>0</v>
      </c>
      <c r="P15">
        <v>2</v>
      </c>
      <c r="Q15">
        <v>2</v>
      </c>
      <c r="R15">
        <f t="shared" si="2"/>
        <v>0</v>
      </c>
      <c r="S15">
        <v>1</v>
      </c>
      <c r="T15">
        <v>2</v>
      </c>
      <c r="U15">
        <f t="shared" si="3"/>
        <v>1</v>
      </c>
      <c r="V15">
        <v>1</v>
      </c>
      <c r="W15">
        <v>1</v>
      </c>
      <c r="X15">
        <f t="shared" si="4"/>
        <v>0</v>
      </c>
      <c r="Y15" s="2">
        <v>0</v>
      </c>
      <c r="Z15" s="2">
        <v>0</v>
      </c>
      <c r="AA15" s="2">
        <v>0</v>
      </c>
      <c r="AB15">
        <f t="shared" si="5"/>
        <v>0</v>
      </c>
      <c r="AC15" s="2">
        <v>0</v>
      </c>
      <c r="AD15" s="2">
        <v>1</v>
      </c>
      <c r="AE15" s="2">
        <v>0</v>
      </c>
      <c r="AF15" s="2">
        <v>0</v>
      </c>
      <c r="AG15" s="2">
        <v>0</v>
      </c>
      <c r="AH15" s="2">
        <v>0</v>
      </c>
      <c r="AI15" s="2">
        <v>0</v>
      </c>
      <c r="AJ15" s="2">
        <v>0</v>
      </c>
      <c r="AK15">
        <f t="shared" si="6"/>
        <v>0</v>
      </c>
      <c r="AL15" t="s">
        <v>6</v>
      </c>
    </row>
    <row r="16" spans="1:38" x14ac:dyDescent="0.35">
      <c r="A16">
        <v>21</v>
      </c>
      <c r="B16" t="s">
        <v>164</v>
      </c>
      <c r="C16">
        <v>0.44</v>
      </c>
      <c r="D16" s="2">
        <v>11</v>
      </c>
      <c r="E16" t="s">
        <v>141</v>
      </c>
      <c r="F16" t="s">
        <v>55</v>
      </c>
      <c r="G16" t="s">
        <v>166</v>
      </c>
      <c r="H16">
        <v>0</v>
      </c>
      <c r="I16" s="13">
        <v>0</v>
      </c>
      <c r="J16" s="2">
        <v>2</v>
      </c>
      <c r="K16">
        <v>2</v>
      </c>
      <c r="L16" s="2">
        <f t="shared" si="0"/>
        <v>0</v>
      </c>
      <c r="M16">
        <v>7</v>
      </c>
      <c r="N16">
        <v>5</v>
      </c>
      <c r="O16">
        <f t="shared" si="1"/>
        <v>-2</v>
      </c>
      <c r="P16">
        <v>1</v>
      </c>
      <c r="Q16">
        <v>1</v>
      </c>
      <c r="R16">
        <f t="shared" si="2"/>
        <v>0</v>
      </c>
      <c r="S16">
        <v>2</v>
      </c>
      <c r="T16">
        <v>2</v>
      </c>
      <c r="U16">
        <f t="shared" si="3"/>
        <v>0</v>
      </c>
      <c r="V16">
        <v>1</v>
      </c>
      <c r="W16">
        <v>1</v>
      </c>
      <c r="X16">
        <f t="shared" si="4"/>
        <v>0</v>
      </c>
      <c r="Y16" s="2">
        <v>0</v>
      </c>
      <c r="Z16" s="2">
        <v>0</v>
      </c>
      <c r="AA16" s="2">
        <v>0</v>
      </c>
      <c r="AB16">
        <f t="shared" si="5"/>
        <v>0</v>
      </c>
      <c r="AC16" s="2">
        <v>0</v>
      </c>
      <c r="AD16" s="2">
        <v>0</v>
      </c>
      <c r="AE16" s="2">
        <v>0</v>
      </c>
      <c r="AF16" s="2">
        <v>1</v>
      </c>
      <c r="AG16" s="2">
        <v>0</v>
      </c>
      <c r="AH16" s="2">
        <v>0</v>
      </c>
      <c r="AI16" s="2">
        <v>1</v>
      </c>
      <c r="AJ16" s="2">
        <v>0</v>
      </c>
      <c r="AK16">
        <f t="shared" si="6"/>
        <v>0</v>
      </c>
      <c r="AL16" t="s">
        <v>9</v>
      </c>
    </row>
    <row r="17" spans="1:38" x14ac:dyDescent="0.35">
      <c r="A17">
        <v>22</v>
      </c>
      <c r="B17" t="s">
        <v>16</v>
      </c>
      <c r="C17">
        <v>1.61</v>
      </c>
      <c r="D17">
        <v>63</v>
      </c>
      <c r="E17" t="s">
        <v>52</v>
      </c>
      <c r="F17" t="s">
        <v>53</v>
      </c>
      <c r="G17" t="s">
        <v>166</v>
      </c>
      <c r="H17">
        <v>0</v>
      </c>
      <c r="I17" s="13">
        <v>0</v>
      </c>
      <c r="J17" s="2">
        <v>5</v>
      </c>
      <c r="K17">
        <v>5</v>
      </c>
      <c r="L17" s="2">
        <f t="shared" si="0"/>
        <v>0</v>
      </c>
      <c r="M17">
        <v>1</v>
      </c>
      <c r="N17">
        <v>1</v>
      </c>
      <c r="O17">
        <f t="shared" si="1"/>
        <v>0</v>
      </c>
      <c r="P17">
        <v>2</v>
      </c>
      <c r="Q17">
        <v>2</v>
      </c>
      <c r="R17">
        <f t="shared" si="2"/>
        <v>0</v>
      </c>
      <c r="S17">
        <v>1</v>
      </c>
      <c r="T17">
        <v>1</v>
      </c>
      <c r="U17">
        <f t="shared" si="3"/>
        <v>0</v>
      </c>
      <c r="V17">
        <v>0</v>
      </c>
      <c r="W17">
        <v>0</v>
      </c>
      <c r="X17">
        <f t="shared" si="4"/>
        <v>0</v>
      </c>
      <c r="Y17" s="2">
        <v>0</v>
      </c>
      <c r="Z17" s="5">
        <v>0</v>
      </c>
      <c r="AA17" s="5">
        <v>0</v>
      </c>
      <c r="AB17">
        <f t="shared" si="5"/>
        <v>0</v>
      </c>
      <c r="AC17" s="2">
        <v>0</v>
      </c>
      <c r="AD17" s="2">
        <v>0</v>
      </c>
      <c r="AE17" s="2">
        <v>0</v>
      </c>
      <c r="AF17" s="2">
        <v>0</v>
      </c>
      <c r="AG17" s="2">
        <v>0</v>
      </c>
      <c r="AH17" s="2">
        <v>0</v>
      </c>
      <c r="AI17" s="2">
        <v>0</v>
      </c>
      <c r="AJ17" s="2">
        <v>0</v>
      </c>
      <c r="AK17">
        <f t="shared" si="6"/>
        <v>1</v>
      </c>
      <c r="AL17" t="s">
        <v>140</v>
      </c>
    </row>
    <row r="18" spans="1:38" x14ac:dyDescent="0.35">
      <c r="A18">
        <v>23</v>
      </c>
      <c r="B18" t="s">
        <v>165</v>
      </c>
      <c r="C18">
        <v>1.47</v>
      </c>
      <c r="D18" s="2">
        <v>29</v>
      </c>
      <c r="E18" t="s">
        <v>162</v>
      </c>
      <c r="F18" t="s">
        <v>56</v>
      </c>
      <c r="G18" t="s">
        <v>166</v>
      </c>
      <c r="H18">
        <v>0</v>
      </c>
      <c r="I18" s="13">
        <v>1</v>
      </c>
      <c r="J18" s="2">
        <v>7</v>
      </c>
      <c r="K18">
        <v>6</v>
      </c>
      <c r="L18" s="2">
        <f t="shared" si="0"/>
        <v>-1</v>
      </c>
      <c r="M18">
        <v>8</v>
      </c>
      <c r="N18">
        <v>6</v>
      </c>
      <c r="O18">
        <f t="shared" si="1"/>
        <v>-2</v>
      </c>
      <c r="P18">
        <v>3</v>
      </c>
      <c r="Q18">
        <v>3</v>
      </c>
      <c r="R18">
        <f t="shared" si="2"/>
        <v>0</v>
      </c>
      <c r="S18">
        <v>1</v>
      </c>
      <c r="T18">
        <v>1</v>
      </c>
      <c r="U18">
        <f t="shared" si="3"/>
        <v>0</v>
      </c>
      <c r="V18">
        <v>1</v>
      </c>
      <c r="W18">
        <v>1</v>
      </c>
      <c r="X18">
        <f t="shared" si="4"/>
        <v>0</v>
      </c>
      <c r="Y18" s="2">
        <v>0</v>
      </c>
      <c r="Z18" s="2">
        <v>0</v>
      </c>
      <c r="AA18" s="2">
        <v>0</v>
      </c>
      <c r="AB18">
        <f t="shared" si="5"/>
        <v>0</v>
      </c>
      <c r="AC18" s="2">
        <v>0</v>
      </c>
      <c r="AD18" s="2">
        <v>0</v>
      </c>
      <c r="AE18" s="2">
        <v>0</v>
      </c>
      <c r="AF18" s="2">
        <v>1</v>
      </c>
      <c r="AG18" s="2">
        <v>0</v>
      </c>
      <c r="AH18" s="2">
        <v>0</v>
      </c>
      <c r="AI18" s="2">
        <v>0</v>
      </c>
      <c r="AJ18" s="2">
        <v>1</v>
      </c>
      <c r="AK18">
        <f t="shared" si="6"/>
        <v>0</v>
      </c>
      <c r="AL18" t="s">
        <v>140</v>
      </c>
    </row>
    <row r="19" spans="1:38" x14ac:dyDescent="0.35">
      <c r="A19">
        <v>24</v>
      </c>
      <c r="B19" t="s">
        <v>18</v>
      </c>
      <c r="C19">
        <v>-0.04</v>
      </c>
      <c r="D19" s="2">
        <v>93</v>
      </c>
      <c r="E19" t="s">
        <v>160</v>
      </c>
      <c r="F19" t="s">
        <v>53</v>
      </c>
      <c r="G19" t="s">
        <v>167</v>
      </c>
      <c r="H19">
        <v>0</v>
      </c>
      <c r="I19" s="13">
        <v>0.25</v>
      </c>
      <c r="J19" s="2">
        <v>4</v>
      </c>
      <c r="K19">
        <v>4</v>
      </c>
      <c r="L19" s="2">
        <f t="shared" si="0"/>
        <v>0</v>
      </c>
      <c r="M19">
        <v>8</v>
      </c>
      <c r="N19">
        <v>7</v>
      </c>
      <c r="O19">
        <f t="shared" si="1"/>
        <v>-1</v>
      </c>
      <c r="P19">
        <v>2</v>
      </c>
      <c r="Q19">
        <v>2</v>
      </c>
      <c r="R19">
        <f t="shared" si="2"/>
        <v>0</v>
      </c>
      <c r="S19">
        <v>2</v>
      </c>
      <c r="T19">
        <v>2</v>
      </c>
      <c r="U19">
        <f t="shared" si="3"/>
        <v>0</v>
      </c>
      <c r="V19">
        <v>0</v>
      </c>
      <c r="W19">
        <v>0</v>
      </c>
      <c r="X19">
        <f t="shared" si="4"/>
        <v>0</v>
      </c>
      <c r="Y19" s="2">
        <v>0</v>
      </c>
      <c r="Z19" s="2">
        <v>1</v>
      </c>
      <c r="AA19" s="2">
        <v>0</v>
      </c>
      <c r="AB19">
        <f t="shared" si="5"/>
        <v>1</v>
      </c>
      <c r="AC19" s="2">
        <v>0</v>
      </c>
      <c r="AD19" s="2">
        <v>1</v>
      </c>
      <c r="AE19" s="2">
        <v>0</v>
      </c>
      <c r="AF19" s="2">
        <v>1</v>
      </c>
      <c r="AG19" s="2">
        <v>0</v>
      </c>
      <c r="AH19" s="2">
        <v>0</v>
      </c>
      <c r="AI19" s="2">
        <v>0</v>
      </c>
      <c r="AJ19" s="2">
        <v>0</v>
      </c>
      <c r="AK19">
        <f t="shared" si="6"/>
        <v>0</v>
      </c>
      <c r="AL19" t="s">
        <v>136</v>
      </c>
    </row>
    <row r="20" spans="1:38" x14ac:dyDescent="0.35">
      <c r="A20">
        <v>25</v>
      </c>
      <c r="B20" t="s">
        <v>16</v>
      </c>
      <c r="C20">
        <v>1.61</v>
      </c>
      <c r="D20">
        <v>66</v>
      </c>
      <c r="E20" t="s">
        <v>141</v>
      </c>
      <c r="F20" t="s">
        <v>55</v>
      </c>
      <c r="G20" t="s">
        <v>166</v>
      </c>
      <c r="H20">
        <v>0</v>
      </c>
      <c r="I20" s="13">
        <v>0.5</v>
      </c>
      <c r="J20" s="2">
        <v>3</v>
      </c>
      <c r="K20">
        <v>3</v>
      </c>
      <c r="L20" s="2">
        <f t="shared" si="0"/>
        <v>0</v>
      </c>
      <c r="M20">
        <v>8</v>
      </c>
      <c r="N20">
        <v>7</v>
      </c>
      <c r="O20">
        <f t="shared" si="1"/>
        <v>-1</v>
      </c>
      <c r="P20">
        <v>2</v>
      </c>
      <c r="Q20">
        <v>2</v>
      </c>
      <c r="R20">
        <f t="shared" si="2"/>
        <v>0</v>
      </c>
      <c r="S20">
        <v>4</v>
      </c>
      <c r="T20">
        <v>2</v>
      </c>
      <c r="U20">
        <f t="shared" si="3"/>
        <v>-2</v>
      </c>
      <c r="V20">
        <v>0</v>
      </c>
      <c r="W20">
        <v>0</v>
      </c>
      <c r="X20">
        <f t="shared" si="4"/>
        <v>0</v>
      </c>
      <c r="Y20" s="2">
        <v>0</v>
      </c>
      <c r="Z20" s="5">
        <v>1</v>
      </c>
      <c r="AA20" s="5">
        <v>1</v>
      </c>
      <c r="AB20">
        <f t="shared" si="5"/>
        <v>1</v>
      </c>
      <c r="AC20" s="2">
        <v>0</v>
      </c>
      <c r="AD20" s="2">
        <v>1</v>
      </c>
      <c r="AE20" s="2">
        <v>0</v>
      </c>
      <c r="AF20" s="2">
        <v>1</v>
      </c>
      <c r="AG20" s="2">
        <v>0</v>
      </c>
      <c r="AH20" s="2">
        <v>0</v>
      </c>
      <c r="AI20" s="2">
        <v>1</v>
      </c>
      <c r="AJ20" s="2">
        <v>0</v>
      </c>
      <c r="AK20">
        <f t="shared" si="6"/>
        <v>0</v>
      </c>
      <c r="AL20" t="s">
        <v>136</v>
      </c>
    </row>
    <row r="21" spans="1:38" x14ac:dyDescent="0.35">
      <c r="A21">
        <v>26</v>
      </c>
      <c r="B21" t="s">
        <v>14</v>
      </c>
      <c r="C21">
        <v>1.42</v>
      </c>
      <c r="D21" s="2">
        <v>23</v>
      </c>
      <c r="E21" t="s">
        <v>160</v>
      </c>
      <c r="F21" t="s">
        <v>53</v>
      </c>
      <c r="G21" t="s">
        <v>166</v>
      </c>
      <c r="H21">
        <v>0</v>
      </c>
      <c r="I21" s="13">
        <v>0.75</v>
      </c>
      <c r="J21" s="2">
        <v>3</v>
      </c>
      <c r="K21">
        <v>3</v>
      </c>
      <c r="L21" s="2">
        <f t="shared" si="0"/>
        <v>0</v>
      </c>
      <c r="M21">
        <v>6</v>
      </c>
      <c r="N21">
        <v>3</v>
      </c>
      <c r="O21">
        <f t="shared" si="1"/>
        <v>-3</v>
      </c>
      <c r="P21">
        <v>2</v>
      </c>
      <c r="Q21">
        <v>2</v>
      </c>
      <c r="R21">
        <f t="shared" si="2"/>
        <v>0</v>
      </c>
      <c r="S21">
        <v>4</v>
      </c>
      <c r="T21">
        <v>4</v>
      </c>
      <c r="U21">
        <f t="shared" si="3"/>
        <v>0</v>
      </c>
      <c r="V21">
        <v>0</v>
      </c>
      <c r="W21">
        <v>0</v>
      </c>
      <c r="X21">
        <f t="shared" si="4"/>
        <v>0</v>
      </c>
      <c r="Y21" s="2">
        <v>0</v>
      </c>
      <c r="Z21" s="2">
        <v>0</v>
      </c>
      <c r="AA21" s="2">
        <v>0</v>
      </c>
      <c r="AB21">
        <f t="shared" si="5"/>
        <v>0</v>
      </c>
      <c r="AC21" s="2">
        <v>0</v>
      </c>
      <c r="AD21" s="2">
        <v>0</v>
      </c>
      <c r="AE21" s="2">
        <v>0</v>
      </c>
      <c r="AF21" s="2">
        <v>0</v>
      </c>
      <c r="AG21" s="2">
        <v>0</v>
      </c>
      <c r="AH21" s="2">
        <v>0</v>
      </c>
      <c r="AI21" s="2">
        <v>0</v>
      </c>
      <c r="AJ21" s="2">
        <v>0</v>
      </c>
      <c r="AK21">
        <f t="shared" si="6"/>
        <v>1</v>
      </c>
      <c r="AL21" t="s">
        <v>140</v>
      </c>
    </row>
    <row r="22" spans="1:38" x14ac:dyDescent="0.35">
      <c r="A22">
        <v>27</v>
      </c>
      <c r="B22" t="s">
        <v>18</v>
      </c>
      <c r="C22">
        <v>-0.04</v>
      </c>
      <c r="D22" s="5">
        <v>14</v>
      </c>
      <c r="E22" t="s">
        <v>141</v>
      </c>
      <c r="F22" t="s">
        <v>53</v>
      </c>
      <c r="G22" t="s">
        <v>166</v>
      </c>
      <c r="H22">
        <v>0</v>
      </c>
      <c r="I22" s="13">
        <v>0.5</v>
      </c>
      <c r="J22" s="2">
        <v>5</v>
      </c>
      <c r="K22">
        <v>5</v>
      </c>
      <c r="L22" s="2">
        <f t="shared" si="0"/>
        <v>0</v>
      </c>
      <c r="M22">
        <v>7</v>
      </c>
      <c r="N22">
        <v>6</v>
      </c>
      <c r="O22">
        <f t="shared" si="1"/>
        <v>-1</v>
      </c>
      <c r="P22">
        <v>3</v>
      </c>
      <c r="Q22">
        <v>3</v>
      </c>
      <c r="R22">
        <f t="shared" si="2"/>
        <v>0</v>
      </c>
      <c r="S22">
        <v>3</v>
      </c>
      <c r="T22">
        <v>1</v>
      </c>
      <c r="U22">
        <f t="shared" si="3"/>
        <v>-2</v>
      </c>
      <c r="V22">
        <v>1</v>
      </c>
      <c r="W22">
        <v>1</v>
      </c>
      <c r="X22">
        <f t="shared" si="4"/>
        <v>0</v>
      </c>
      <c r="Y22" s="2">
        <v>0</v>
      </c>
      <c r="Z22" s="2">
        <v>0</v>
      </c>
      <c r="AA22" s="2">
        <v>0</v>
      </c>
      <c r="AB22">
        <f t="shared" si="5"/>
        <v>0</v>
      </c>
      <c r="AC22" s="2">
        <v>0</v>
      </c>
      <c r="AD22" s="2">
        <v>1</v>
      </c>
      <c r="AE22" s="2">
        <v>0</v>
      </c>
      <c r="AF22" s="2">
        <v>1</v>
      </c>
      <c r="AG22" s="2">
        <v>0</v>
      </c>
      <c r="AH22" s="2">
        <v>0</v>
      </c>
      <c r="AI22" s="2">
        <v>1</v>
      </c>
      <c r="AJ22" s="2">
        <v>0</v>
      </c>
      <c r="AK22">
        <f t="shared" si="6"/>
        <v>0</v>
      </c>
      <c r="AL22" s="9" t="s">
        <v>39</v>
      </c>
    </row>
    <row r="23" spans="1:38" x14ac:dyDescent="0.35">
      <c r="A23">
        <v>29</v>
      </c>
      <c r="B23" t="s">
        <v>165</v>
      </c>
      <c r="C23">
        <v>1.47</v>
      </c>
      <c r="D23">
        <v>24</v>
      </c>
      <c r="E23" t="s">
        <v>162</v>
      </c>
      <c r="F23" t="s">
        <v>56</v>
      </c>
      <c r="G23" t="s">
        <v>167</v>
      </c>
      <c r="H23">
        <v>0</v>
      </c>
      <c r="I23" s="13">
        <v>0.5</v>
      </c>
      <c r="J23" s="2">
        <v>4</v>
      </c>
      <c r="K23">
        <v>4</v>
      </c>
      <c r="L23" s="2">
        <f t="shared" si="0"/>
        <v>0</v>
      </c>
      <c r="M23">
        <v>3</v>
      </c>
      <c r="N23">
        <v>3</v>
      </c>
      <c r="O23">
        <f t="shared" si="1"/>
        <v>0</v>
      </c>
      <c r="P23">
        <v>3</v>
      </c>
      <c r="Q23">
        <v>3</v>
      </c>
      <c r="R23">
        <f t="shared" si="2"/>
        <v>0</v>
      </c>
      <c r="S23">
        <v>1</v>
      </c>
      <c r="T23">
        <v>2</v>
      </c>
      <c r="U23">
        <f t="shared" si="3"/>
        <v>1</v>
      </c>
      <c r="V23">
        <v>1</v>
      </c>
      <c r="W23">
        <v>1</v>
      </c>
      <c r="X23">
        <f t="shared" si="4"/>
        <v>0</v>
      </c>
      <c r="Y23" s="2">
        <v>0</v>
      </c>
      <c r="Z23" s="2">
        <v>0</v>
      </c>
      <c r="AA23" s="2">
        <v>0</v>
      </c>
      <c r="AB23">
        <f t="shared" si="5"/>
        <v>0</v>
      </c>
      <c r="AC23" s="2">
        <v>0</v>
      </c>
      <c r="AD23" s="2">
        <v>1</v>
      </c>
      <c r="AE23" s="2">
        <v>0</v>
      </c>
      <c r="AF23" s="2">
        <v>1</v>
      </c>
      <c r="AG23" s="2">
        <v>0</v>
      </c>
      <c r="AH23" s="2">
        <v>0</v>
      </c>
      <c r="AI23" s="2">
        <v>1</v>
      </c>
      <c r="AJ23" s="2">
        <v>0</v>
      </c>
      <c r="AK23">
        <f t="shared" si="6"/>
        <v>0</v>
      </c>
      <c r="AL23" t="s">
        <v>140</v>
      </c>
    </row>
    <row r="24" spans="1:38" x14ac:dyDescent="0.35">
      <c r="A24">
        <v>30</v>
      </c>
      <c r="B24" t="s">
        <v>16</v>
      </c>
      <c r="C24">
        <v>1.61</v>
      </c>
      <c r="D24" s="2">
        <v>117</v>
      </c>
      <c r="E24" t="s">
        <v>52</v>
      </c>
      <c r="F24" t="s">
        <v>59</v>
      </c>
      <c r="G24" t="s">
        <v>167</v>
      </c>
      <c r="H24">
        <v>0</v>
      </c>
      <c r="I24" s="13">
        <v>0.25</v>
      </c>
      <c r="J24" s="2">
        <v>9</v>
      </c>
      <c r="K24">
        <v>10</v>
      </c>
      <c r="L24" s="2">
        <f t="shared" si="0"/>
        <v>1</v>
      </c>
      <c r="M24">
        <v>9</v>
      </c>
      <c r="N24">
        <v>8</v>
      </c>
      <c r="O24">
        <f t="shared" si="1"/>
        <v>-1</v>
      </c>
      <c r="P24">
        <v>2</v>
      </c>
      <c r="Q24">
        <v>2</v>
      </c>
      <c r="R24">
        <f t="shared" si="2"/>
        <v>0</v>
      </c>
      <c r="S24">
        <v>1</v>
      </c>
      <c r="T24">
        <v>2</v>
      </c>
      <c r="U24">
        <f t="shared" si="3"/>
        <v>1</v>
      </c>
      <c r="V24">
        <v>0</v>
      </c>
      <c r="W24">
        <v>0</v>
      </c>
      <c r="X24">
        <f t="shared" si="4"/>
        <v>0</v>
      </c>
      <c r="Y24" s="2">
        <v>0</v>
      </c>
      <c r="Z24" s="5">
        <v>1</v>
      </c>
      <c r="AA24" s="5">
        <v>0</v>
      </c>
      <c r="AB24">
        <f t="shared" si="5"/>
        <v>1</v>
      </c>
      <c r="AC24" s="2">
        <v>0</v>
      </c>
      <c r="AD24" s="2">
        <v>1</v>
      </c>
      <c r="AE24" s="2">
        <v>0</v>
      </c>
      <c r="AF24" s="2">
        <v>1</v>
      </c>
      <c r="AG24" s="2">
        <v>0</v>
      </c>
      <c r="AH24" s="2">
        <v>0</v>
      </c>
      <c r="AI24" s="2">
        <v>1</v>
      </c>
      <c r="AJ24" s="2">
        <v>0</v>
      </c>
      <c r="AK24">
        <f t="shared" si="6"/>
        <v>0</v>
      </c>
      <c r="AL24" t="s">
        <v>6</v>
      </c>
    </row>
    <row r="25" spans="1:38" x14ac:dyDescent="0.35">
      <c r="A25">
        <v>31</v>
      </c>
      <c r="B25" t="s">
        <v>164</v>
      </c>
      <c r="C25">
        <v>0.44</v>
      </c>
      <c r="D25" s="2">
        <v>6</v>
      </c>
      <c r="E25" t="s">
        <v>162</v>
      </c>
      <c r="F25" t="s">
        <v>55</v>
      </c>
      <c r="G25" t="s">
        <v>166</v>
      </c>
      <c r="H25">
        <v>0</v>
      </c>
      <c r="I25" s="13">
        <v>0.25</v>
      </c>
      <c r="J25" s="2">
        <v>3</v>
      </c>
      <c r="K25">
        <v>3</v>
      </c>
      <c r="L25" s="2">
        <f t="shared" si="0"/>
        <v>0</v>
      </c>
      <c r="M25">
        <v>5</v>
      </c>
      <c r="N25">
        <v>5</v>
      </c>
      <c r="O25">
        <f t="shared" si="1"/>
        <v>0</v>
      </c>
      <c r="P25">
        <v>1</v>
      </c>
      <c r="Q25">
        <v>1</v>
      </c>
      <c r="R25">
        <f t="shared" si="2"/>
        <v>0</v>
      </c>
      <c r="S25">
        <v>2</v>
      </c>
      <c r="T25">
        <v>2</v>
      </c>
      <c r="U25">
        <f t="shared" si="3"/>
        <v>0</v>
      </c>
      <c r="V25">
        <v>1</v>
      </c>
      <c r="W25">
        <v>1</v>
      </c>
      <c r="X25">
        <f t="shared" si="4"/>
        <v>0</v>
      </c>
      <c r="Y25" s="2">
        <v>0</v>
      </c>
      <c r="Z25" s="2">
        <v>0</v>
      </c>
      <c r="AA25" s="2">
        <v>0</v>
      </c>
      <c r="AB25">
        <f t="shared" si="5"/>
        <v>0</v>
      </c>
      <c r="AC25" s="2">
        <v>0</v>
      </c>
      <c r="AD25" s="2">
        <v>0</v>
      </c>
      <c r="AE25" s="2">
        <v>0</v>
      </c>
      <c r="AF25" s="2">
        <v>1</v>
      </c>
      <c r="AG25" s="2">
        <v>0</v>
      </c>
      <c r="AH25" s="2">
        <v>0</v>
      </c>
      <c r="AI25" s="2">
        <v>0</v>
      </c>
      <c r="AJ25" s="2">
        <v>0</v>
      </c>
      <c r="AK25">
        <f t="shared" si="6"/>
        <v>0</v>
      </c>
      <c r="AL25" t="s">
        <v>140</v>
      </c>
    </row>
    <row r="26" spans="1:38" x14ac:dyDescent="0.35">
      <c r="A26">
        <v>32</v>
      </c>
      <c r="B26" t="s">
        <v>165</v>
      </c>
      <c r="C26">
        <v>1.47</v>
      </c>
      <c r="D26" s="2">
        <v>46</v>
      </c>
      <c r="E26" t="s">
        <v>162</v>
      </c>
      <c r="F26" t="s">
        <v>56</v>
      </c>
      <c r="G26" t="s">
        <v>167</v>
      </c>
      <c r="H26">
        <v>0</v>
      </c>
      <c r="I26" s="13">
        <v>0</v>
      </c>
      <c r="J26" s="2">
        <v>3</v>
      </c>
      <c r="K26">
        <v>3</v>
      </c>
      <c r="L26" s="2">
        <f t="shared" si="0"/>
        <v>0</v>
      </c>
      <c r="M26">
        <v>8</v>
      </c>
      <c r="N26">
        <v>8</v>
      </c>
      <c r="O26">
        <f t="shared" si="1"/>
        <v>0</v>
      </c>
      <c r="P26">
        <v>2</v>
      </c>
      <c r="Q26">
        <v>2</v>
      </c>
      <c r="R26">
        <f t="shared" si="2"/>
        <v>0</v>
      </c>
      <c r="S26">
        <v>1</v>
      </c>
      <c r="T26">
        <v>1</v>
      </c>
      <c r="U26">
        <f t="shared" si="3"/>
        <v>0</v>
      </c>
      <c r="V26">
        <v>1</v>
      </c>
      <c r="W26">
        <v>1</v>
      </c>
      <c r="X26">
        <f t="shared" si="4"/>
        <v>0</v>
      </c>
      <c r="Y26" s="2">
        <v>0</v>
      </c>
      <c r="Z26" s="2">
        <v>0</v>
      </c>
      <c r="AA26" s="2">
        <v>0</v>
      </c>
      <c r="AB26">
        <f t="shared" si="5"/>
        <v>0</v>
      </c>
      <c r="AC26" s="2">
        <v>0</v>
      </c>
      <c r="AD26" s="2">
        <v>1</v>
      </c>
      <c r="AE26" s="2">
        <v>0</v>
      </c>
      <c r="AF26" s="2">
        <v>1</v>
      </c>
      <c r="AG26" s="2">
        <v>0</v>
      </c>
      <c r="AH26" s="2">
        <v>0</v>
      </c>
      <c r="AI26" s="2">
        <v>1</v>
      </c>
      <c r="AJ26" s="2">
        <v>0</v>
      </c>
      <c r="AK26">
        <f t="shared" si="6"/>
        <v>0</v>
      </c>
      <c r="AL26" t="s">
        <v>6</v>
      </c>
    </row>
    <row r="27" spans="1:38" x14ac:dyDescent="0.35">
      <c r="A27">
        <v>33</v>
      </c>
      <c r="B27" t="s">
        <v>164</v>
      </c>
      <c r="C27">
        <v>0.44</v>
      </c>
      <c r="D27" s="5">
        <v>12</v>
      </c>
      <c r="E27" t="s">
        <v>61</v>
      </c>
      <c r="F27" t="s">
        <v>53</v>
      </c>
      <c r="G27" t="s">
        <v>166</v>
      </c>
      <c r="H27">
        <v>0</v>
      </c>
      <c r="I27" s="13">
        <v>0</v>
      </c>
      <c r="J27" s="2">
        <v>3</v>
      </c>
      <c r="K27">
        <v>3</v>
      </c>
      <c r="L27" s="2">
        <f t="shared" si="0"/>
        <v>0</v>
      </c>
      <c r="M27">
        <v>5</v>
      </c>
      <c r="N27">
        <v>5</v>
      </c>
      <c r="O27">
        <f t="shared" si="1"/>
        <v>0</v>
      </c>
      <c r="P27">
        <v>3</v>
      </c>
      <c r="Q27">
        <v>3</v>
      </c>
      <c r="R27">
        <f t="shared" si="2"/>
        <v>0</v>
      </c>
      <c r="S27">
        <v>3</v>
      </c>
      <c r="T27">
        <v>3</v>
      </c>
      <c r="U27">
        <f t="shared" si="3"/>
        <v>0</v>
      </c>
      <c r="V27">
        <v>1</v>
      </c>
      <c r="W27">
        <v>1</v>
      </c>
      <c r="X27">
        <f t="shared" si="4"/>
        <v>0</v>
      </c>
      <c r="Y27" s="2">
        <v>0</v>
      </c>
      <c r="Z27" s="2">
        <v>0</v>
      </c>
      <c r="AA27" s="2">
        <v>0</v>
      </c>
      <c r="AB27">
        <f t="shared" si="5"/>
        <v>0</v>
      </c>
      <c r="AC27" s="2">
        <v>0</v>
      </c>
      <c r="AD27" s="2">
        <v>1</v>
      </c>
      <c r="AE27" s="2">
        <v>0</v>
      </c>
      <c r="AF27" s="2">
        <v>1</v>
      </c>
      <c r="AG27" s="2">
        <v>0</v>
      </c>
      <c r="AH27" s="2">
        <v>1</v>
      </c>
      <c r="AI27" s="2">
        <v>1</v>
      </c>
      <c r="AJ27" s="2">
        <v>0</v>
      </c>
      <c r="AK27">
        <f t="shared" si="6"/>
        <v>0</v>
      </c>
      <c r="AL27" s="9" t="s">
        <v>6</v>
      </c>
    </row>
    <row r="28" spans="1:38" x14ac:dyDescent="0.35">
      <c r="A28">
        <v>34</v>
      </c>
      <c r="B28" t="s">
        <v>16</v>
      </c>
      <c r="C28">
        <v>1.61</v>
      </c>
      <c r="D28" s="2">
        <v>1</v>
      </c>
      <c r="E28" t="s">
        <v>52</v>
      </c>
      <c r="F28" t="s">
        <v>56</v>
      </c>
      <c r="G28" t="s">
        <v>166</v>
      </c>
      <c r="H28">
        <v>0</v>
      </c>
      <c r="I28" s="13">
        <v>0</v>
      </c>
      <c r="J28" s="2">
        <v>2</v>
      </c>
      <c r="K28">
        <v>2</v>
      </c>
      <c r="L28" s="2">
        <f t="shared" si="0"/>
        <v>0</v>
      </c>
      <c r="M28">
        <v>9</v>
      </c>
      <c r="N28">
        <v>9</v>
      </c>
      <c r="O28">
        <f t="shared" si="1"/>
        <v>0</v>
      </c>
      <c r="P28">
        <v>1</v>
      </c>
      <c r="Q28">
        <v>1</v>
      </c>
      <c r="R28">
        <f t="shared" si="2"/>
        <v>0</v>
      </c>
      <c r="S28">
        <v>2</v>
      </c>
      <c r="T28">
        <v>1</v>
      </c>
      <c r="U28">
        <f t="shared" si="3"/>
        <v>-1</v>
      </c>
      <c r="V28">
        <v>0</v>
      </c>
      <c r="W28">
        <v>0</v>
      </c>
      <c r="X28">
        <f t="shared" si="4"/>
        <v>0</v>
      </c>
      <c r="Y28" s="2">
        <v>0</v>
      </c>
      <c r="Z28" s="5">
        <v>0</v>
      </c>
      <c r="AA28" s="5">
        <v>0</v>
      </c>
      <c r="AB28">
        <f t="shared" si="5"/>
        <v>0</v>
      </c>
      <c r="AC28" s="2">
        <v>0</v>
      </c>
      <c r="AD28" s="2">
        <v>0</v>
      </c>
      <c r="AE28" s="2">
        <v>0</v>
      </c>
      <c r="AF28" s="2">
        <v>0</v>
      </c>
      <c r="AG28" s="2">
        <v>0</v>
      </c>
      <c r="AH28" s="2">
        <v>0</v>
      </c>
      <c r="AI28" s="2">
        <v>0</v>
      </c>
      <c r="AJ28" s="2">
        <v>0</v>
      </c>
      <c r="AK28">
        <f t="shared" si="6"/>
        <v>1</v>
      </c>
      <c r="AL28" t="s">
        <v>140</v>
      </c>
    </row>
    <row r="29" spans="1:38" x14ac:dyDescent="0.35">
      <c r="A29">
        <v>36</v>
      </c>
      <c r="B29" t="s">
        <v>16</v>
      </c>
      <c r="C29">
        <v>1.61</v>
      </c>
      <c r="D29">
        <v>146</v>
      </c>
      <c r="E29" t="s">
        <v>52</v>
      </c>
      <c r="F29" t="s">
        <v>56</v>
      </c>
      <c r="G29" t="s">
        <v>166</v>
      </c>
      <c r="H29">
        <v>1</v>
      </c>
      <c r="I29" s="13">
        <v>1</v>
      </c>
      <c r="J29" s="2">
        <v>2</v>
      </c>
      <c r="K29">
        <v>1</v>
      </c>
      <c r="L29" s="2">
        <f t="shared" si="0"/>
        <v>-1</v>
      </c>
      <c r="M29">
        <v>3</v>
      </c>
      <c r="N29">
        <v>2</v>
      </c>
      <c r="O29">
        <f t="shared" si="1"/>
        <v>-1</v>
      </c>
      <c r="P29">
        <v>1</v>
      </c>
      <c r="Q29">
        <v>1</v>
      </c>
      <c r="R29">
        <f t="shared" si="2"/>
        <v>0</v>
      </c>
      <c r="S29">
        <v>2</v>
      </c>
      <c r="T29">
        <v>2</v>
      </c>
      <c r="U29">
        <f t="shared" si="3"/>
        <v>0</v>
      </c>
      <c r="V29">
        <v>2</v>
      </c>
      <c r="W29">
        <v>2</v>
      </c>
      <c r="X29">
        <f t="shared" si="4"/>
        <v>0</v>
      </c>
      <c r="Y29" s="2">
        <v>1</v>
      </c>
      <c r="Z29" s="5">
        <v>0</v>
      </c>
      <c r="AA29" s="5">
        <v>1</v>
      </c>
      <c r="AB29">
        <f t="shared" si="5"/>
        <v>1</v>
      </c>
      <c r="AC29" s="2">
        <v>1</v>
      </c>
      <c r="AD29" s="2">
        <v>0</v>
      </c>
      <c r="AE29" s="2">
        <v>0</v>
      </c>
      <c r="AF29" s="2">
        <v>0</v>
      </c>
      <c r="AG29" s="5">
        <v>1</v>
      </c>
      <c r="AH29" s="5">
        <v>1</v>
      </c>
      <c r="AI29" s="2">
        <v>0</v>
      </c>
      <c r="AJ29" s="2">
        <v>0</v>
      </c>
      <c r="AK29">
        <f t="shared" si="6"/>
        <v>0</v>
      </c>
      <c r="AL29" t="s">
        <v>8</v>
      </c>
    </row>
    <row r="30" spans="1:38" x14ac:dyDescent="0.35">
      <c r="A30">
        <v>37</v>
      </c>
      <c r="B30" t="s">
        <v>164</v>
      </c>
      <c r="C30">
        <v>0.44</v>
      </c>
      <c r="D30" s="2">
        <v>12</v>
      </c>
      <c r="E30" t="s">
        <v>162</v>
      </c>
      <c r="F30" t="s">
        <v>54</v>
      </c>
      <c r="G30" t="s">
        <v>166</v>
      </c>
      <c r="H30">
        <v>0</v>
      </c>
      <c r="I30" s="13">
        <v>0</v>
      </c>
      <c r="J30" s="2">
        <v>5</v>
      </c>
      <c r="K30">
        <v>5</v>
      </c>
      <c r="L30" s="2">
        <f t="shared" si="0"/>
        <v>0</v>
      </c>
      <c r="M30">
        <v>7</v>
      </c>
      <c r="N30">
        <v>7</v>
      </c>
      <c r="O30">
        <f t="shared" si="1"/>
        <v>0</v>
      </c>
      <c r="P30">
        <v>2</v>
      </c>
      <c r="Q30">
        <v>2</v>
      </c>
      <c r="R30">
        <f t="shared" si="2"/>
        <v>0</v>
      </c>
      <c r="S30">
        <v>1</v>
      </c>
      <c r="T30">
        <v>1</v>
      </c>
      <c r="U30">
        <f t="shared" si="3"/>
        <v>0</v>
      </c>
      <c r="V30">
        <v>0</v>
      </c>
      <c r="W30">
        <v>1</v>
      </c>
      <c r="X30">
        <f t="shared" si="4"/>
        <v>1</v>
      </c>
      <c r="Y30" s="2">
        <v>0</v>
      </c>
      <c r="Z30" s="2">
        <v>0</v>
      </c>
      <c r="AA30" s="2">
        <v>0</v>
      </c>
      <c r="AB30">
        <f t="shared" si="5"/>
        <v>0</v>
      </c>
      <c r="AC30" s="2">
        <v>0</v>
      </c>
      <c r="AD30" s="2">
        <v>1</v>
      </c>
      <c r="AE30" s="2">
        <v>0</v>
      </c>
      <c r="AF30" s="2">
        <v>1</v>
      </c>
      <c r="AG30" s="2">
        <v>0</v>
      </c>
      <c r="AH30" s="2">
        <v>0</v>
      </c>
      <c r="AI30" s="2">
        <v>0</v>
      </c>
      <c r="AJ30" s="2">
        <v>0</v>
      </c>
      <c r="AK30">
        <f t="shared" si="6"/>
        <v>0</v>
      </c>
      <c r="AL30" t="s">
        <v>6</v>
      </c>
    </row>
    <row r="31" spans="1:38" x14ac:dyDescent="0.35">
      <c r="A31">
        <v>38</v>
      </c>
      <c r="B31" t="s">
        <v>164</v>
      </c>
      <c r="C31">
        <v>0.44</v>
      </c>
      <c r="D31" s="5">
        <v>14</v>
      </c>
      <c r="E31" t="s">
        <v>61</v>
      </c>
      <c r="F31" t="s">
        <v>53</v>
      </c>
      <c r="G31" t="s">
        <v>166</v>
      </c>
      <c r="H31">
        <v>0</v>
      </c>
      <c r="I31" s="13">
        <v>0.75</v>
      </c>
      <c r="J31" s="2">
        <v>2</v>
      </c>
      <c r="K31">
        <v>1</v>
      </c>
      <c r="L31" s="2">
        <f t="shared" si="0"/>
        <v>-1</v>
      </c>
      <c r="M31">
        <v>9</v>
      </c>
      <c r="N31">
        <v>9</v>
      </c>
      <c r="O31">
        <f t="shared" si="1"/>
        <v>0</v>
      </c>
      <c r="P31">
        <v>1</v>
      </c>
      <c r="Q31">
        <v>1</v>
      </c>
      <c r="R31">
        <f t="shared" si="2"/>
        <v>0</v>
      </c>
      <c r="S31">
        <v>1</v>
      </c>
      <c r="T31">
        <v>1</v>
      </c>
      <c r="U31">
        <f t="shared" si="3"/>
        <v>0</v>
      </c>
      <c r="V31">
        <v>0</v>
      </c>
      <c r="W31">
        <v>1</v>
      </c>
      <c r="X31">
        <f t="shared" si="4"/>
        <v>1</v>
      </c>
      <c r="Y31" s="2">
        <v>0</v>
      </c>
      <c r="Z31" s="2">
        <v>0</v>
      </c>
      <c r="AA31" s="2">
        <v>0</v>
      </c>
      <c r="AB31">
        <f t="shared" si="5"/>
        <v>0</v>
      </c>
      <c r="AC31" s="2">
        <v>0</v>
      </c>
      <c r="AD31" s="2">
        <v>0</v>
      </c>
      <c r="AE31" s="2">
        <v>0</v>
      </c>
      <c r="AF31" s="2">
        <v>1</v>
      </c>
      <c r="AG31" s="2">
        <v>0</v>
      </c>
      <c r="AH31" s="2">
        <v>0</v>
      </c>
      <c r="AI31" s="2">
        <v>0</v>
      </c>
      <c r="AJ31" s="2">
        <v>0</v>
      </c>
      <c r="AK31">
        <f t="shared" si="6"/>
        <v>0</v>
      </c>
      <c r="AL31" s="9" t="s">
        <v>39</v>
      </c>
    </row>
    <row r="32" spans="1:38" x14ac:dyDescent="0.35">
      <c r="A32">
        <v>40</v>
      </c>
      <c r="B32" t="s">
        <v>164</v>
      </c>
      <c r="C32">
        <v>0.44</v>
      </c>
      <c r="D32" s="5">
        <v>6</v>
      </c>
      <c r="E32" t="s">
        <v>141</v>
      </c>
      <c r="F32" t="s">
        <v>53</v>
      </c>
      <c r="G32" t="s">
        <v>166</v>
      </c>
      <c r="H32">
        <v>0</v>
      </c>
      <c r="I32" s="13">
        <v>0.75</v>
      </c>
      <c r="J32" s="2">
        <v>3</v>
      </c>
      <c r="K32">
        <v>4</v>
      </c>
      <c r="L32" s="2">
        <f t="shared" si="0"/>
        <v>1</v>
      </c>
      <c r="M32">
        <v>9</v>
      </c>
      <c r="N32">
        <v>2</v>
      </c>
      <c r="O32">
        <f t="shared" si="1"/>
        <v>-7</v>
      </c>
      <c r="P32">
        <v>1</v>
      </c>
      <c r="Q32">
        <v>2</v>
      </c>
      <c r="R32">
        <f t="shared" si="2"/>
        <v>1</v>
      </c>
      <c r="S32">
        <v>2</v>
      </c>
      <c r="T32">
        <v>2</v>
      </c>
      <c r="U32">
        <f t="shared" si="3"/>
        <v>0</v>
      </c>
      <c r="V32">
        <v>2</v>
      </c>
      <c r="W32">
        <v>1</v>
      </c>
      <c r="X32">
        <f t="shared" si="4"/>
        <v>-1</v>
      </c>
      <c r="Y32" s="2">
        <v>0</v>
      </c>
      <c r="Z32" s="2">
        <v>0</v>
      </c>
      <c r="AA32" s="2">
        <v>0</v>
      </c>
      <c r="AB32">
        <f t="shared" si="5"/>
        <v>0</v>
      </c>
      <c r="AC32" s="2">
        <v>0</v>
      </c>
      <c r="AD32" s="2">
        <v>1</v>
      </c>
      <c r="AE32" s="2">
        <v>0</v>
      </c>
      <c r="AF32" s="2">
        <v>0</v>
      </c>
      <c r="AG32" s="2">
        <v>0</v>
      </c>
      <c r="AH32" s="2">
        <v>1</v>
      </c>
      <c r="AI32" s="2">
        <v>0</v>
      </c>
      <c r="AJ32" s="2">
        <v>0</v>
      </c>
      <c r="AK32">
        <f t="shared" si="6"/>
        <v>0</v>
      </c>
      <c r="AL32" s="9" t="s">
        <v>47</v>
      </c>
    </row>
    <row r="33" spans="1:38" x14ac:dyDescent="0.35">
      <c r="A33">
        <v>41</v>
      </c>
      <c r="B33" t="s">
        <v>16</v>
      </c>
      <c r="C33">
        <v>1.61</v>
      </c>
      <c r="D33" s="2">
        <v>109</v>
      </c>
      <c r="E33" t="s">
        <v>52</v>
      </c>
      <c r="F33" t="s">
        <v>60</v>
      </c>
      <c r="G33" t="s">
        <v>167</v>
      </c>
      <c r="H33">
        <v>0</v>
      </c>
      <c r="I33" s="13">
        <v>0.25</v>
      </c>
      <c r="J33" s="2">
        <v>4</v>
      </c>
      <c r="K33">
        <v>4</v>
      </c>
      <c r="L33" s="2">
        <f t="shared" si="0"/>
        <v>0</v>
      </c>
      <c r="M33">
        <v>8</v>
      </c>
      <c r="N33">
        <v>8</v>
      </c>
      <c r="O33">
        <f t="shared" si="1"/>
        <v>0</v>
      </c>
      <c r="P33">
        <v>1</v>
      </c>
      <c r="Q33">
        <v>1</v>
      </c>
      <c r="R33">
        <f t="shared" si="2"/>
        <v>0</v>
      </c>
      <c r="S33">
        <v>1</v>
      </c>
      <c r="T33">
        <v>1</v>
      </c>
      <c r="U33">
        <f t="shared" si="3"/>
        <v>0</v>
      </c>
      <c r="V33">
        <v>0</v>
      </c>
      <c r="W33">
        <v>0</v>
      </c>
      <c r="X33">
        <f t="shared" si="4"/>
        <v>0</v>
      </c>
      <c r="Y33" s="2">
        <v>0</v>
      </c>
      <c r="Z33" s="5">
        <v>0</v>
      </c>
      <c r="AA33" s="5">
        <v>0</v>
      </c>
      <c r="AB33">
        <f t="shared" si="5"/>
        <v>0</v>
      </c>
      <c r="AC33" s="2">
        <v>0</v>
      </c>
      <c r="AD33" s="2">
        <v>0</v>
      </c>
      <c r="AE33" s="2">
        <v>0</v>
      </c>
      <c r="AF33" s="2">
        <v>0</v>
      </c>
      <c r="AG33" s="2">
        <v>0</v>
      </c>
      <c r="AH33" s="2">
        <v>0</v>
      </c>
      <c r="AI33" s="2">
        <v>0</v>
      </c>
      <c r="AJ33" s="2">
        <v>0</v>
      </c>
      <c r="AK33">
        <f t="shared" si="6"/>
        <v>1</v>
      </c>
      <c r="AL33" t="s">
        <v>140</v>
      </c>
    </row>
    <row r="34" spans="1:38" x14ac:dyDescent="0.35">
      <c r="A34">
        <v>42</v>
      </c>
      <c r="B34" t="s">
        <v>16</v>
      </c>
      <c r="C34">
        <v>1.61</v>
      </c>
      <c r="D34" s="2">
        <v>6</v>
      </c>
      <c r="E34" t="s">
        <v>52</v>
      </c>
      <c r="F34" t="s">
        <v>56</v>
      </c>
      <c r="G34" t="s">
        <v>166</v>
      </c>
      <c r="H34">
        <v>0</v>
      </c>
      <c r="I34" s="13">
        <v>0.25</v>
      </c>
      <c r="J34" s="2">
        <v>6</v>
      </c>
      <c r="K34">
        <v>6</v>
      </c>
      <c r="L34" s="2">
        <f t="shared" si="0"/>
        <v>0</v>
      </c>
      <c r="M34">
        <v>8</v>
      </c>
      <c r="N34">
        <v>8</v>
      </c>
      <c r="O34">
        <f t="shared" si="1"/>
        <v>0</v>
      </c>
      <c r="P34">
        <v>2</v>
      </c>
      <c r="Q34">
        <v>2</v>
      </c>
      <c r="R34">
        <f t="shared" si="2"/>
        <v>0</v>
      </c>
      <c r="S34">
        <v>2</v>
      </c>
      <c r="T34">
        <v>2</v>
      </c>
      <c r="U34">
        <f t="shared" si="3"/>
        <v>0</v>
      </c>
      <c r="V34">
        <v>1</v>
      </c>
      <c r="W34">
        <v>1</v>
      </c>
      <c r="X34">
        <f t="shared" si="4"/>
        <v>0</v>
      </c>
      <c r="Y34" s="2">
        <v>0</v>
      </c>
      <c r="Z34" s="5">
        <v>0</v>
      </c>
      <c r="AA34" s="5">
        <v>0</v>
      </c>
      <c r="AB34">
        <f t="shared" si="5"/>
        <v>0</v>
      </c>
      <c r="AC34" s="2">
        <v>0</v>
      </c>
      <c r="AD34" s="2">
        <v>1</v>
      </c>
      <c r="AE34" s="2">
        <v>0</v>
      </c>
      <c r="AF34" s="2">
        <v>0</v>
      </c>
      <c r="AG34" s="2">
        <v>0</v>
      </c>
      <c r="AH34" s="2">
        <v>0</v>
      </c>
      <c r="AI34" s="2">
        <v>0</v>
      </c>
      <c r="AJ34" s="2">
        <v>0</v>
      </c>
      <c r="AK34">
        <f t="shared" si="6"/>
        <v>0</v>
      </c>
      <c r="AL34" t="s">
        <v>6</v>
      </c>
    </row>
    <row r="35" spans="1:38" x14ac:dyDescent="0.35">
      <c r="A35">
        <v>43</v>
      </c>
      <c r="B35" t="s">
        <v>16</v>
      </c>
      <c r="C35">
        <v>1.61</v>
      </c>
      <c r="D35" s="5">
        <v>7</v>
      </c>
      <c r="E35" t="s">
        <v>52</v>
      </c>
      <c r="F35" t="s">
        <v>53</v>
      </c>
      <c r="G35" t="s">
        <v>166</v>
      </c>
      <c r="H35">
        <v>0</v>
      </c>
      <c r="I35" s="13">
        <v>0</v>
      </c>
      <c r="J35" s="2">
        <v>4</v>
      </c>
      <c r="K35">
        <v>4</v>
      </c>
      <c r="L35" s="2">
        <f t="shared" si="0"/>
        <v>0</v>
      </c>
      <c r="M35">
        <v>7</v>
      </c>
      <c r="N35">
        <v>6</v>
      </c>
      <c r="O35">
        <f t="shared" si="1"/>
        <v>-1</v>
      </c>
      <c r="P35">
        <v>3</v>
      </c>
      <c r="Q35">
        <v>3</v>
      </c>
      <c r="R35">
        <f t="shared" si="2"/>
        <v>0</v>
      </c>
      <c r="S35">
        <v>4</v>
      </c>
      <c r="T35">
        <v>2</v>
      </c>
      <c r="U35">
        <f t="shared" si="3"/>
        <v>-2</v>
      </c>
      <c r="V35">
        <v>1</v>
      </c>
      <c r="W35">
        <v>1</v>
      </c>
      <c r="X35">
        <f t="shared" si="4"/>
        <v>0</v>
      </c>
      <c r="Y35" s="2">
        <v>0</v>
      </c>
      <c r="Z35" s="5">
        <v>0</v>
      </c>
      <c r="AA35" s="5">
        <v>0</v>
      </c>
      <c r="AB35">
        <f t="shared" si="5"/>
        <v>0</v>
      </c>
      <c r="AC35" s="2">
        <v>0</v>
      </c>
      <c r="AD35" s="2">
        <v>1</v>
      </c>
      <c r="AE35" s="2">
        <v>0</v>
      </c>
      <c r="AF35" s="2">
        <v>1</v>
      </c>
      <c r="AG35" s="2">
        <v>0</v>
      </c>
      <c r="AH35" s="2">
        <v>0</v>
      </c>
      <c r="AI35" s="2">
        <v>0</v>
      </c>
      <c r="AJ35" s="2">
        <v>0</v>
      </c>
      <c r="AK35">
        <f t="shared" si="6"/>
        <v>0</v>
      </c>
      <c r="AL35" s="9" t="s">
        <v>39</v>
      </c>
    </row>
    <row r="36" spans="1:38" x14ac:dyDescent="0.35">
      <c r="A36">
        <v>44</v>
      </c>
      <c r="B36" t="s">
        <v>16</v>
      </c>
      <c r="C36">
        <v>1.61</v>
      </c>
      <c r="D36" s="2">
        <v>66</v>
      </c>
      <c r="E36" t="s">
        <v>52</v>
      </c>
      <c r="F36" t="s">
        <v>55</v>
      </c>
      <c r="G36" t="s">
        <v>167</v>
      </c>
      <c r="H36">
        <v>0</v>
      </c>
      <c r="I36" s="13">
        <v>0.75</v>
      </c>
      <c r="J36" s="2">
        <v>5</v>
      </c>
      <c r="K36">
        <v>5</v>
      </c>
      <c r="L36" s="2">
        <f t="shared" si="0"/>
        <v>0</v>
      </c>
      <c r="M36">
        <v>4</v>
      </c>
      <c r="N36">
        <v>2</v>
      </c>
      <c r="O36">
        <f t="shared" si="1"/>
        <v>-2</v>
      </c>
      <c r="P36">
        <v>1</v>
      </c>
      <c r="Q36">
        <v>1</v>
      </c>
      <c r="R36">
        <f t="shared" si="2"/>
        <v>0</v>
      </c>
      <c r="S36">
        <v>4</v>
      </c>
      <c r="T36">
        <v>2</v>
      </c>
      <c r="U36">
        <f t="shared" si="3"/>
        <v>-2</v>
      </c>
      <c r="V36">
        <v>2</v>
      </c>
      <c r="W36">
        <v>0</v>
      </c>
      <c r="X36">
        <f t="shared" si="4"/>
        <v>-2</v>
      </c>
      <c r="Y36" s="2">
        <v>0</v>
      </c>
      <c r="Z36" s="5">
        <v>1</v>
      </c>
      <c r="AA36" s="5">
        <v>0</v>
      </c>
      <c r="AB36">
        <f t="shared" si="5"/>
        <v>1</v>
      </c>
      <c r="AC36" s="2">
        <v>0</v>
      </c>
      <c r="AD36" s="2">
        <v>1</v>
      </c>
      <c r="AE36" s="2">
        <v>0</v>
      </c>
      <c r="AF36" s="2">
        <v>1</v>
      </c>
      <c r="AG36" s="2">
        <v>0</v>
      </c>
      <c r="AH36" s="2">
        <v>0</v>
      </c>
      <c r="AI36" s="2">
        <v>1</v>
      </c>
      <c r="AJ36" s="2">
        <v>0</v>
      </c>
      <c r="AK36">
        <f t="shared" si="6"/>
        <v>0</v>
      </c>
      <c r="AL36" t="s">
        <v>6</v>
      </c>
    </row>
    <row r="37" spans="1:38" x14ac:dyDescent="0.35">
      <c r="A37">
        <v>46</v>
      </c>
      <c r="B37" t="s">
        <v>16</v>
      </c>
      <c r="C37">
        <v>1.61</v>
      </c>
      <c r="D37" s="2">
        <v>7</v>
      </c>
      <c r="E37" t="s">
        <v>52</v>
      </c>
      <c r="F37" t="s">
        <v>56</v>
      </c>
      <c r="G37" t="s">
        <v>166</v>
      </c>
      <c r="H37">
        <v>0</v>
      </c>
      <c r="I37" s="13">
        <v>0.25</v>
      </c>
      <c r="J37" s="2">
        <v>6</v>
      </c>
      <c r="K37">
        <v>6</v>
      </c>
      <c r="L37" s="2">
        <f t="shared" si="0"/>
        <v>0</v>
      </c>
      <c r="M37">
        <v>7</v>
      </c>
      <c r="N37">
        <v>7</v>
      </c>
      <c r="O37">
        <f t="shared" si="1"/>
        <v>0</v>
      </c>
      <c r="P37">
        <v>3</v>
      </c>
      <c r="Q37">
        <v>3</v>
      </c>
      <c r="R37">
        <f t="shared" si="2"/>
        <v>0</v>
      </c>
      <c r="S37">
        <v>5</v>
      </c>
      <c r="T37">
        <v>5</v>
      </c>
      <c r="U37">
        <f t="shared" si="3"/>
        <v>0</v>
      </c>
      <c r="V37">
        <v>0</v>
      </c>
      <c r="W37">
        <v>0</v>
      </c>
      <c r="X37">
        <f t="shared" si="4"/>
        <v>0</v>
      </c>
      <c r="Y37" s="2">
        <v>0</v>
      </c>
      <c r="Z37" s="5">
        <v>1</v>
      </c>
      <c r="AA37" s="5">
        <v>0</v>
      </c>
      <c r="AB37">
        <f t="shared" si="5"/>
        <v>1</v>
      </c>
      <c r="AC37" s="2">
        <v>1</v>
      </c>
      <c r="AD37" s="2">
        <v>0</v>
      </c>
      <c r="AE37" s="2">
        <v>0</v>
      </c>
      <c r="AF37" s="2">
        <v>1</v>
      </c>
      <c r="AG37" s="2">
        <v>0</v>
      </c>
      <c r="AH37" s="2">
        <v>0</v>
      </c>
      <c r="AI37" s="2">
        <v>1</v>
      </c>
      <c r="AJ37" s="2">
        <v>0</v>
      </c>
      <c r="AK37">
        <f t="shared" si="6"/>
        <v>0</v>
      </c>
      <c r="AL37" t="s">
        <v>136</v>
      </c>
    </row>
    <row r="38" spans="1:38" x14ac:dyDescent="0.35">
      <c r="A38">
        <v>47</v>
      </c>
      <c r="B38" t="s">
        <v>18</v>
      </c>
      <c r="C38">
        <v>-0.04</v>
      </c>
      <c r="D38" s="5">
        <v>56</v>
      </c>
      <c r="E38" t="s">
        <v>160</v>
      </c>
      <c r="F38" t="s">
        <v>53</v>
      </c>
      <c r="G38" t="s">
        <v>167</v>
      </c>
      <c r="H38">
        <v>0</v>
      </c>
      <c r="I38" s="13">
        <v>0</v>
      </c>
      <c r="J38" s="2">
        <v>4</v>
      </c>
      <c r="K38">
        <v>4</v>
      </c>
      <c r="L38" s="2">
        <f t="shared" si="0"/>
        <v>0</v>
      </c>
      <c r="M38">
        <v>9</v>
      </c>
      <c r="N38">
        <v>9</v>
      </c>
      <c r="O38">
        <f t="shared" si="1"/>
        <v>0</v>
      </c>
      <c r="P38">
        <v>1</v>
      </c>
      <c r="Q38">
        <v>1</v>
      </c>
      <c r="R38">
        <f t="shared" si="2"/>
        <v>0</v>
      </c>
      <c r="S38">
        <v>1</v>
      </c>
      <c r="T38">
        <v>1</v>
      </c>
      <c r="U38">
        <f t="shared" si="3"/>
        <v>0</v>
      </c>
      <c r="V38">
        <v>0</v>
      </c>
      <c r="W38">
        <v>0</v>
      </c>
      <c r="X38">
        <f t="shared" si="4"/>
        <v>0</v>
      </c>
      <c r="Y38" s="2">
        <v>0</v>
      </c>
      <c r="Z38" s="2">
        <v>0</v>
      </c>
      <c r="AA38" s="2">
        <v>0</v>
      </c>
      <c r="AB38">
        <f t="shared" si="5"/>
        <v>0</v>
      </c>
      <c r="AC38" s="2">
        <v>0</v>
      </c>
      <c r="AD38" s="2">
        <v>0</v>
      </c>
      <c r="AE38" s="2">
        <v>0</v>
      </c>
      <c r="AF38" s="2">
        <v>1</v>
      </c>
      <c r="AG38" s="2">
        <v>0</v>
      </c>
      <c r="AH38" s="2">
        <v>0</v>
      </c>
      <c r="AI38" s="2">
        <v>1</v>
      </c>
      <c r="AJ38" s="2">
        <v>0</v>
      </c>
      <c r="AK38">
        <f t="shared" si="6"/>
        <v>0</v>
      </c>
      <c r="AL38" s="9" t="s">
        <v>39</v>
      </c>
    </row>
    <row r="39" spans="1:38" x14ac:dyDescent="0.35">
      <c r="A39">
        <v>48</v>
      </c>
      <c r="B39" t="s">
        <v>18</v>
      </c>
      <c r="C39">
        <v>-0.04</v>
      </c>
      <c r="D39" s="2">
        <v>56</v>
      </c>
      <c r="E39" t="s">
        <v>160</v>
      </c>
      <c r="F39" t="s">
        <v>55</v>
      </c>
      <c r="G39" t="s">
        <v>167</v>
      </c>
      <c r="H39">
        <v>0</v>
      </c>
      <c r="I39" s="13">
        <v>0.25</v>
      </c>
      <c r="J39" s="2">
        <v>3</v>
      </c>
      <c r="K39">
        <v>3</v>
      </c>
      <c r="L39" s="2">
        <f t="shared" si="0"/>
        <v>0</v>
      </c>
      <c r="M39">
        <v>6</v>
      </c>
      <c r="N39">
        <v>5</v>
      </c>
      <c r="O39">
        <f t="shared" si="1"/>
        <v>-1</v>
      </c>
      <c r="P39">
        <v>2</v>
      </c>
      <c r="Q39">
        <v>2</v>
      </c>
      <c r="R39">
        <f t="shared" si="2"/>
        <v>0</v>
      </c>
      <c r="S39">
        <v>1</v>
      </c>
      <c r="T39">
        <v>1</v>
      </c>
      <c r="U39">
        <f t="shared" si="3"/>
        <v>0</v>
      </c>
      <c r="V39">
        <v>1</v>
      </c>
      <c r="W39">
        <v>1</v>
      </c>
      <c r="X39">
        <f t="shared" si="4"/>
        <v>0</v>
      </c>
      <c r="Y39" s="2">
        <v>0</v>
      </c>
      <c r="Z39" s="2">
        <v>0</v>
      </c>
      <c r="AA39" s="2">
        <v>0</v>
      </c>
      <c r="AB39">
        <f t="shared" si="5"/>
        <v>0</v>
      </c>
      <c r="AC39" s="2">
        <v>0</v>
      </c>
      <c r="AD39" s="2">
        <v>0</v>
      </c>
      <c r="AE39" s="2">
        <v>0</v>
      </c>
      <c r="AF39" s="2">
        <v>1</v>
      </c>
      <c r="AG39" s="2">
        <v>0</v>
      </c>
      <c r="AH39" s="2">
        <v>0</v>
      </c>
      <c r="AI39" s="2">
        <v>0</v>
      </c>
      <c r="AJ39" s="2">
        <v>0</v>
      </c>
      <c r="AK39">
        <f t="shared" si="6"/>
        <v>0</v>
      </c>
      <c r="AL39" t="s">
        <v>140</v>
      </c>
    </row>
    <row r="40" spans="1:38" x14ac:dyDescent="0.35">
      <c r="A40">
        <v>49</v>
      </c>
      <c r="B40" t="s">
        <v>16</v>
      </c>
      <c r="C40">
        <v>1.61</v>
      </c>
      <c r="D40" s="5">
        <v>7</v>
      </c>
      <c r="E40" t="s">
        <v>52</v>
      </c>
      <c r="F40" t="s">
        <v>55</v>
      </c>
      <c r="G40" t="s">
        <v>166</v>
      </c>
      <c r="H40">
        <v>0</v>
      </c>
      <c r="I40" s="13">
        <v>0.75</v>
      </c>
      <c r="J40" s="2">
        <v>3</v>
      </c>
      <c r="K40">
        <v>3</v>
      </c>
      <c r="L40" s="2">
        <f t="shared" si="0"/>
        <v>0</v>
      </c>
      <c r="M40">
        <v>7</v>
      </c>
      <c r="N40">
        <v>6</v>
      </c>
      <c r="O40">
        <f t="shared" si="1"/>
        <v>-1</v>
      </c>
      <c r="P40">
        <v>1</v>
      </c>
      <c r="Q40">
        <v>1</v>
      </c>
      <c r="R40">
        <f t="shared" si="2"/>
        <v>0</v>
      </c>
      <c r="S40">
        <v>1</v>
      </c>
      <c r="T40">
        <v>2</v>
      </c>
      <c r="U40">
        <f t="shared" si="3"/>
        <v>1</v>
      </c>
      <c r="V40">
        <v>1</v>
      </c>
      <c r="W40">
        <v>1</v>
      </c>
      <c r="X40">
        <f t="shared" si="4"/>
        <v>0</v>
      </c>
      <c r="Y40" s="2">
        <v>0</v>
      </c>
      <c r="Z40" s="5">
        <v>0</v>
      </c>
      <c r="AA40" s="5">
        <v>0</v>
      </c>
      <c r="AB40">
        <f t="shared" si="5"/>
        <v>0</v>
      </c>
      <c r="AC40" s="2">
        <v>0</v>
      </c>
      <c r="AD40" s="2">
        <v>1</v>
      </c>
      <c r="AE40" s="2">
        <v>0</v>
      </c>
      <c r="AF40" s="2">
        <v>1</v>
      </c>
      <c r="AG40" s="2">
        <v>0</v>
      </c>
      <c r="AH40" s="2">
        <v>0</v>
      </c>
      <c r="AI40" s="2">
        <v>0</v>
      </c>
      <c r="AJ40" s="2">
        <v>0</v>
      </c>
      <c r="AK40">
        <f t="shared" si="6"/>
        <v>0</v>
      </c>
      <c r="AL40" s="9" t="s">
        <v>39</v>
      </c>
    </row>
    <row r="41" spans="1:38" x14ac:dyDescent="0.35">
      <c r="A41">
        <v>50</v>
      </c>
      <c r="B41" t="s">
        <v>16</v>
      </c>
      <c r="C41">
        <v>1.61</v>
      </c>
      <c r="D41" s="2">
        <v>145</v>
      </c>
      <c r="E41" t="s">
        <v>52</v>
      </c>
      <c r="F41" t="s">
        <v>55</v>
      </c>
      <c r="G41" t="s">
        <v>166</v>
      </c>
      <c r="H41">
        <v>1</v>
      </c>
      <c r="I41" s="13">
        <v>0.75</v>
      </c>
      <c r="J41" s="2">
        <v>5</v>
      </c>
      <c r="K41">
        <v>1</v>
      </c>
      <c r="L41" s="2">
        <f t="shared" si="0"/>
        <v>-4</v>
      </c>
      <c r="M41">
        <v>8</v>
      </c>
      <c r="N41">
        <v>6</v>
      </c>
      <c r="O41">
        <f t="shared" si="1"/>
        <v>-2</v>
      </c>
      <c r="P41">
        <v>2</v>
      </c>
      <c r="Q41">
        <v>2</v>
      </c>
      <c r="R41">
        <f t="shared" si="2"/>
        <v>0</v>
      </c>
      <c r="S41">
        <v>4</v>
      </c>
      <c r="T41">
        <v>2</v>
      </c>
      <c r="U41">
        <f t="shared" si="3"/>
        <v>-2</v>
      </c>
      <c r="V41">
        <v>2</v>
      </c>
      <c r="W41">
        <v>2</v>
      </c>
      <c r="X41">
        <f t="shared" si="4"/>
        <v>0</v>
      </c>
      <c r="Y41" s="2">
        <v>1</v>
      </c>
      <c r="Z41" s="5">
        <v>1</v>
      </c>
      <c r="AA41" s="5">
        <v>1</v>
      </c>
      <c r="AB41">
        <f t="shared" si="5"/>
        <v>1</v>
      </c>
      <c r="AC41" s="2">
        <v>1</v>
      </c>
      <c r="AD41" s="2">
        <v>1</v>
      </c>
      <c r="AE41" s="2">
        <v>0</v>
      </c>
      <c r="AF41" s="2">
        <v>0</v>
      </c>
      <c r="AG41" s="2">
        <v>0</v>
      </c>
      <c r="AH41" s="2">
        <v>0</v>
      </c>
      <c r="AI41" s="2">
        <v>0</v>
      </c>
      <c r="AJ41" s="2">
        <v>0</v>
      </c>
      <c r="AK41">
        <f t="shared" si="6"/>
        <v>0</v>
      </c>
      <c r="AL41" t="s">
        <v>4</v>
      </c>
    </row>
    <row r="42" spans="1:38" x14ac:dyDescent="0.35">
      <c r="A42">
        <v>51</v>
      </c>
      <c r="B42" t="s">
        <v>16</v>
      </c>
      <c r="C42">
        <v>1.61</v>
      </c>
      <c r="D42" s="2">
        <v>145</v>
      </c>
      <c r="E42" t="s">
        <v>52</v>
      </c>
      <c r="F42" t="s">
        <v>55</v>
      </c>
      <c r="G42" t="s">
        <v>166</v>
      </c>
      <c r="H42">
        <v>0</v>
      </c>
      <c r="I42" s="13">
        <v>1</v>
      </c>
      <c r="J42" s="2">
        <v>5</v>
      </c>
      <c r="K42">
        <v>4</v>
      </c>
      <c r="L42" s="2">
        <f t="shared" si="0"/>
        <v>-1</v>
      </c>
      <c r="M42">
        <v>8</v>
      </c>
      <c r="N42">
        <v>5</v>
      </c>
      <c r="O42">
        <f t="shared" si="1"/>
        <v>-3</v>
      </c>
      <c r="P42">
        <v>2</v>
      </c>
      <c r="Q42">
        <v>2</v>
      </c>
      <c r="R42">
        <f t="shared" si="2"/>
        <v>0</v>
      </c>
      <c r="S42">
        <v>2</v>
      </c>
      <c r="T42">
        <v>3</v>
      </c>
      <c r="U42">
        <f t="shared" si="3"/>
        <v>1</v>
      </c>
      <c r="V42">
        <v>1</v>
      </c>
      <c r="W42">
        <v>2</v>
      </c>
      <c r="X42">
        <f t="shared" si="4"/>
        <v>1</v>
      </c>
      <c r="Y42" s="2">
        <v>0</v>
      </c>
      <c r="Z42" s="5">
        <v>1</v>
      </c>
      <c r="AA42" s="5">
        <v>1</v>
      </c>
      <c r="AB42">
        <f t="shared" si="5"/>
        <v>1</v>
      </c>
      <c r="AC42" s="2">
        <v>1</v>
      </c>
      <c r="AD42" s="2">
        <v>1</v>
      </c>
      <c r="AE42" s="2">
        <v>0</v>
      </c>
      <c r="AF42" s="2">
        <v>1</v>
      </c>
      <c r="AG42" s="2">
        <v>0</v>
      </c>
      <c r="AH42" s="2">
        <v>0</v>
      </c>
      <c r="AI42" s="2">
        <v>1</v>
      </c>
      <c r="AJ42" s="2">
        <v>0</v>
      </c>
      <c r="AK42">
        <f t="shared" si="6"/>
        <v>0</v>
      </c>
      <c r="AL42" t="s">
        <v>136</v>
      </c>
    </row>
    <row r="43" spans="1:38" x14ac:dyDescent="0.35">
      <c r="A43">
        <v>52</v>
      </c>
      <c r="B43" t="s">
        <v>16</v>
      </c>
      <c r="C43">
        <v>1.61</v>
      </c>
      <c r="D43" s="2">
        <v>14</v>
      </c>
      <c r="E43" t="s">
        <v>160</v>
      </c>
      <c r="F43" t="s">
        <v>53</v>
      </c>
      <c r="G43" t="s">
        <v>167</v>
      </c>
      <c r="H43">
        <v>0</v>
      </c>
      <c r="I43" s="13">
        <v>0</v>
      </c>
      <c r="J43" s="2">
        <v>3</v>
      </c>
      <c r="K43">
        <v>3</v>
      </c>
      <c r="L43" s="2">
        <f t="shared" si="0"/>
        <v>0</v>
      </c>
      <c r="M43">
        <v>9</v>
      </c>
      <c r="N43">
        <v>9</v>
      </c>
      <c r="O43">
        <f t="shared" si="1"/>
        <v>0</v>
      </c>
      <c r="P43">
        <v>3</v>
      </c>
      <c r="Q43">
        <v>3</v>
      </c>
      <c r="R43">
        <f t="shared" si="2"/>
        <v>0</v>
      </c>
      <c r="S43">
        <v>1</v>
      </c>
      <c r="T43">
        <v>2</v>
      </c>
      <c r="U43">
        <f t="shared" si="3"/>
        <v>1</v>
      </c>
      <c r="V43">
        <v>0</v>
      </c>
      <c r="W43">
        <v>1</v>
      </c>
      <c r="X43">
        <f t="shared" si="4"/>
        <v>1</v>
      </c>
      <c r="Y43" s="2">
        <v>0</v>
      </c>
      <c r="Z43" s="5">
        <v>0</v>
      </c>
      <c r="AA43" s="5">
        <v>0</v>
      </c>
      <c r="AB43">
        <f t="shared" si="5"/>
        <v>0</v>
      </c>
      <c r="AC43" s="2">
        <v>0</v>
      </c>
      <c r="AD43" s="2">
        <v>0</v>
      </c>
      <c r="AE43" s="2">
        <v>0</v>
      </c>
      <c r="AF43" s="2">
        <v>0</v>
      </c>
      <c r="AG43" s="2">
        <v>0</v>
      </c>
      <c r="AH43" s="2">
        <v>0</v>
      </c>
      <c r="AI43" s="2">
        <v>0</v>
      </c>
      <c r="AJ43" s="2">
        <v>0</v>
      </c>
      <c r="AK43">
        <f t="shared" si="6"/>
        <v>1</v>
      </c>
      <c r="AL43" t="s">
        <v>140</v>
      </c>
    </row>
    <row r="44" spans="1:38" x14ac:dyDescent="0.35">
      <c r="A44">
        <v>53</v>
      </c>
      <c r="B44" t="s">
        <v>18</v>
      </c>
      <c r="C44">
        <v>-0.04</v>
      </c>
      <c r="D44" s="2">
        <v>60</v>
      </c>
      <c r="E44" t="s">
        <v>160</v>
      </c>
      <c r="F44" t="s">
        <v>55</v>
      </c>
      <c r="G44" t="s">
        <v>166</v>
      </c>
      <c r="H44">
        <v>0</v>
      </c>
      <c r="I44" s="13">
        <v>0.75</v>
      </c>
      <c r="J44" s="2">
        <v>8</v>
      </c>
      <c r="K44">
        <v>8</v>
      </c>
      <c r="L44" s="2">
        <f t="shared" si="0"/>
        <v>0</v>
      </c>
      <c r="M44">
        <v>6</v>
      </c>
      <c r="N44">
        <v>6</v>
      </c>
      <c r="O44">
        <f t="shared" si="1"/>
        <v>0</v>
      </c>
      <c r="P44">
        <v>3</v>
      </c>
      <c r="Q44">
        <v>3</v>
      </c>
      <c r="R44">
        <f t="shared" si="2"/>
        <v>0</v>
      </c>
      <c r="S44">
        <v>1</v>
      </c>
      <c r="T44">
        <v>2</v>
      </c>
      <c r="U44">
        <f t="shared" si="3"/>
        <v>1</v>
      </c>
      <c r="V44">
        <v>1</v>
      </c>
      <c r="W44">
        <v>1</v>
      </c>
      <c r="X44">
        <f t="shared" si="4"/>
        <v>0</v>
      </c>
      <c r="Y44" s="2">
        <v>0</v>
      </c>
      <c r="Z44" s="2">
        <v>1</v>
      </c>
      <c r="AA44" s="2">
        <v>0</v>
      </c>
      <c r="AB44">
        <f t="shared" si="5"/>
        <v>1</v>
      </c>
      <c r="AC44" s="2">
        <v>0</v>
      </c>
      <c r="AD44" s="2">
        <v>1</v>
      </c>
      <c r="AE44" s="2">
        <v>0</v>
      </c>
      <c r="AF44" s="2">
        <v>1</v>
      </c>
      <c r="AG44" s="2">
        <v>0</v>
      </c>
      <c r="AH44" s="2">
        <v>0</v>
      </c>
      <c r="AI44" s="2">
        <v>1</v>
      </c>
      <c r="AJ44" s="2">
        <v>1</v>
      </c>
      <c r="AK44">
        <f t="shared" si="6"/>
        <v>0</v>
      </c>
      <c r="AL44" t="s">
        <v>136</v>
      </c>
    </row>
    <row r="45" spans="1:38" x14ac:dyDescent="0.35">
      <c r="A45">
        <v>54</v>
      </c>
      <c r="B45" t="s">
        <v>18</v>
      </c>
      <c r="C45">
        <v>-0.04</v>
      </c>
      <c r="D45" s="2">
        <v>60</v>
      </c>
      <c r="E45" t="s">
        <v>160</v>
      </c>
      <c r="F45" t="s">
        <v>53</v>
      </c>
      <c r="G45" t="s">
        <v>166</v>
      </c>
      <c r="H45">
        <v>0</v>
      </c>
      <c r="I45" s="13">
        <v>1</v>
      </c>
      <c r="J45" s="2">
        <v>5</v>
      </c>
      <c r="K45">
        <v>5</v>
      </c>
      <c r="L45" s="2">
        <f t="shared" si="0"/>
        <v>0</v>
      </c>
      <c r="M45">
        <v>8</v>
      </c>
      <c r="N45">
        <v>4</v>
      </c>
      <c r="O45">
        <f t="shared" si="1"/>
        <v>-4</v>
      </c>
      <c r="P45">
        <v>2</v>
      </c>
      <c r="Q45">
        <v>2</v>
      </c>
      <c r="R45">
        <f t="shared" si="2"/>
        <v>0</v>
      </c>
      <c r="S45">
        <v>3</v>
      </c>
      <c r="T45">
        <v>1</v>
      </c>
      <c r="U45">
        <f t="shared" si="3"/>
        <v>-2</v>
      </c>
      <c r="V45">
        <v>0</v>
      </c>
      <c r="W45">
        <v>0</v>
      </c>
      <c r="X45">
        <f t="shared" si="4"/>
        <v>0</v>
      </c>
      <c r="Y45" s="2">
        <v>0</v>
      </c>
      <c r="Z45" s="2">
        <v>0</v>
      </c>
      <c r="AA45" s="2">
        <v>0</v>
      </c>
      <c r="AB45">
        <f t="shared" si="5"/>
        <v>0</v>
      </c>
      <c r="AC45" s="2">
        <v>0</v>
      </c>
      <c r="AD45" s="2">
        <v>1</v>
      </c>
      <c r="AE45" s="2">
        <v>0</v>
      </c>
      <c r="AF45" s="2">
        <v>1</v>
      </c>
      <c r="AG45" s="2">
        <v>0</v>
      </c>
      <c r="AH45" s="2">
        <v>0</v>
      </c>
      <c r="AI45" s="2">
        <v>1</v>
      </c>
      <c r="AJ45" s="2">
        <v>0</v>
      </c>
      <c r="AK45">
        <f t="shared" si="6"/>
        <v>0</v>
      </c>
      <c r="AL45" t="s">
        <v>6</v>
      </c>
    </row>
    <row r="46" spans="1:38" x14ac:dyDescent="0.35">
      <c r="A46">
        <v>55</v>
      </c>
      <c r="B46" t="s">
        <v>16</v>
      </c>
      <c r="C46">
        <v>1.61</v>
      </c>
      <c r="D46" s="2">
        <v>6</v>
      </c>
      <c r="E46" t="s">
        <v>52</v>
      </c>
      <c r="F46" t="s">
        <v>55</v>
      </c>
      <c r="G46" t="s">
        <v>166</v>
      </c>
      <c r="H46">
        <v>0</v>
      </c>
      <c r="I46" s="13">
        <v>0.25</v>
      </c>
      <c r="J46" s="2">
        <v>11</v>
      </c>
      <c r="K46">
        <v>12</v>
      </c>
      <c r="L46" s="2">
        <f t="shared" si="0"/>
        <v>1</v>
      </c>
      <c r="M46">
        <v>7</v>
      </c>
      <c r="N46">
        <v>7</v>
      </c>
      <c r="O46">
        <f t="shared" si="1"/>
        <v>0</v>
      </c>
      <c r="P46">
        <v>3</v>
      </c>
      <c r="Q46">
        <v>3</v>
      </c>
      <c r="R46">
        <f t="shared" si="2"/>
        <v>0</v>
      </c>
      <c r="S46">
        <v>2</v>
      </c>
      <c r="T46">
        <v>2</v>
      </c>
      <c r="U46">
        <f t="shared" si="3"/>
        <v>0</v>
      </c>
      <c r="V46">
        <v>1</v>
      </c>
      <c r="W46">
        <v>0</v>
      </c>
      <c r="X46">
        <f t="shared" si="4"/>
        <v>-1</v>
      </c>
      <c r="Y46" s="2">
        <v>0</v>
      </c>
      <c r="Z46" s="5">
        <v>0</v>
      </c>
      <c r="AA46" s="5">
        <v>0</v>
      </c>
      <c r="AB46">
        <f t="shared" si="5"/>
        <v>0</v>
      </c>
      <c r="AC46" s="2">
        <v>0</v>
      </c>
      <c r="AD46" s="2">
        <v>0</v>
      </c>
      <c r="AE46" s="2">
        <v>0</v>
      </c>
      <c r="AF46" s="2">
        <v>0</v>
      </c>
      <c r="AG46" s="2">
        <v>0</v>
      </c>
      <c r="AH46" s="2">
        <v>0</v>
      </c>
      <c r="AI46" s="2">
        <v>1</v>
      </c>
      <c r="AJ46" s="2">
        <v>0</v>
      </c>
      <c r="AK46">
        <f t="shared" si="6"/>
        <v>0</v>
      </c>
      <c r="AL46" t="s">
        <v>140</v>
      </c>
    </row>
    <row r="47" spans="1:38" x14ac:dyDescent="0.35">
      <c r="A47">
        <v>56</v>
      </c>
      <c r="B47" t="s">
        <v>16</v>
      </c>
      <c r="C47">
        <v>1.61</v>
      </c>
      <c r="D47" s="2">
        <v>39</v>
      </c>
      <c r="E47" t="s">
        <v>52</v>
      </c>
      <c r="F47" t="s">
        <v>54</v>
      </c>
      <c r="G47" t="s">
        <v>167</v>
      </c>
      <c r="H47">
        <v>1</v>
      </c>
      <c r="I47" s="13">
        <v>0.75</v>
      </c>
      <c r="J47" s="2">
        <v>1</v>
      </c>
      <c r="K47">
        <v>1</v>
      </c>
      <c r="L47" s="2">
        <f t="shared" si="0"/>
        <v>0</v>
      </c>
      <c r="M47">
        <v>8</v>
      </c>
      <c r="N47">
        <v>4</v>
      </c>
      <c r="O47">
        <f t="shared" si="1"/>
        <v>-4</v>
      </c>
      <c r="P47">
        <v>2</v>
      </c>
      <c r="Q47">
        <v>2</v>
      </c>
      <c r="R47">
        <f t="shared" si="2"/>
        <v>0</v>
      </c>
      <c r="S47">
        <v>3</v>
      </c>
      <c r="T47">
        <v>2</v>
      </c>
      <c r="U47">
        <f t="shared" si="3"/>
        <v>-1</v>
      </c>
      <c r="V47">
        <v>0</v>
      </c>
      <c r="W47">
        <v>0</v>
      </c>
      <c r="X47">
        <f t="shared" si="4"/>
        <v>0</v>
      </c>
      <c r="Y47" s="2">
        <v>0</v>
      </c>
      <c r="Z47" s="5">
        <v>1</v>
      </c>
      <c r="AA47" s="5">
        <v>0</v>
      </c>
      <c r="AB47">
        <f t="shared" si="5"/>
        <v>1</v>
      </c>
      <c r="AC47" s="2">
        <v>0</v>
      </c>
      <c r="AD47" s="2">
        <v>0</v>
      </c>
      <c r="AE47" s="2">
        <v>0</v>
      </c>
      <c r="AF47" s="2">
        <v>1</v>
      </c>
      <c r="AG47" s="2">
        <v>0</v>
      </c>
      <c r="AH47" s="2">
        <v>0</v>
      </c>
      <c r="AI47" s="2">
        <v>0</v>
      </c>
      <c r="AJ47" s="2">
        <v>0</v>
      </c>
      <c r="AK47">
        <f t="shared" si="6"/>
        <v>0</v>
      </c>
      <c r="AL47" t="s">
        <v>136</v>
      </c>
    </row>
    <row r="48" spans="1:38" x14ac:dyDescent="0.35">
      <c r="A48">
        <v>57</v>
      </c>
      <c r="B48" t="s">
        <v>16</v>
      </c>
      <c r="C48">
        <v>1.61</v>
      </c>
      <c r="D48" s="2">
        <v>145</v>
      </c>
      <c r="E48" t="s">
        <v>52</v>
      </c>
      <c r="F48" t="s">
        <v>55</v>
      </c>
      <c r="G48" t="s">
        <v>167</v>
      </c>
      <c r="H48">
        <v>0</v>
      </c>
      <c r="I48" s="13">
        <v>0.25</v>
      </c>
      <c r="J48" s="2">
        <v>4</v>
      </c>
      <c r="K48">
        <v>4</v>
      </c>
      <c r="L48" s="2">
        <f t="shared" si="0"/>
        <v>0</v>
      </c>
      <c r="M48">
        <v>8</v>
      </c>
      <c r="N48">
        <v>2</v>
      </c>
      <c r="O48">
        <f t="shared" si="1"/>
        <v>-6</v>
      </c>
      <c r="P48">
        <v>2</v>
      </c>
      <c r="Q48">
        <v>2</v>
      </c>
      <c r="R48">
        <f t="shared" si="2"/>
        <v>0</v>
      </c>
      <c r="S48">
        <v>4</v>
      </c>
      <c r="T48">
        <v>2</v>
      </c>
      <c r="U48">
        <f t="shared" si="3"/>
        <v>-2</v>
      </c>
      <c r="V48">
        <v>1</v>
      </c>
      <c r="W48">
        <v>1</v>
      </c>
      <c r="X48">
        <f t="shared" si="4"/>
        <v>0</v>
      </c>
      <c r="Y48" s="2">
        <v>0</v>
      </c>
      <c r="Z48" s="5">
        <v>1</v>
      </c>
      <c r="AA48" s="5">
        <v>1</v>
      </c>
      <c r="AB48">
        <f t="shared" si="5"/>
        <v>1</v>
      </c>
      <c r="AC48" s="2">
        <v>1</v>
      </c>
      <c r="AD48" s="2">
        <v>0</v>
      </c>
      <c r="AE48" s="2">
        <v>0</v>
      </c>
      <c r="AF48" s="2">
        <v>0</v>
      </c>
      <c r="AG48" s="2">
        <v>0</v>
      </c>
      <c r="AH48" s="2">
        <v>0</v>
      </c>
      <c r="AI48" s="2">
        <v>1</v>
      </c>
      <c r="AJ48" s="2">
        <v>1</v>
      </c>
      <c r="AK48">
        <f t="shared" si="6"/>
        <v>0</v>
      </c>
      <c r="AL48" t="s">
        <v>137</v>
      </c>
    </row>
    <row r="49" spans="1:38" x14ac:dyDescent="0.35">
      <c r="A49">
        <v>58</v>
      </c>
      <c r="B49" t="s">
        <v>18</v>
      </c>
      <c r="C49">
        <v>-0.04</v>
      </c>
      <c r="D49" s="2">
        <v>60</v>
      </c>
      <c r="E49" t="s">
        <v>160</v>
      </c>
      <c r="F49" t="s">
        <v>55</v>
      </c>
      <c r="G49" t="s">
        <v>167</v>
      </c>
      <c r="H49">
        <v>0</v>
      </c>
      <c r="I49" s="13">
        <v>0</v>
      </c>
      <c r="J49" s="2">
        <v>5</v>
      </c>
      <c r="K49">
        <v>5</v>
      </c>
      <c r="L49" s="2">
        <f t="shared" si="0"/>
        <v>0</v>
      </c>
      <c r="M49">
        <v>7</v>
      </c>
      <c r="N49">
        <v>7</v>
      </c>
      <c r="O49">
        <f t="shared" si="1"/>
        <v>0</v>
      </c>
      <c r="P49">
        <v>2</v>
      </c>
      <c r="Q49">
        <v>2</v>
      </c>
      <c r="R49">
        <f t="shared" si="2"/>
        <v>0</v>
      </c>
      <c r="S49">
        <v>1</v>
      </c>
      <c r="T49">
        <v>1</v>
      </c>
      <c r="U49">
        <f t="shared" si="3"/>
        <v>0</v>
      </c>
      <c r="V49">
        <v>0</v>
      </c>
      <c r="W49">
        <v>0</v>
      </c>
      <c r="X49">
        <f t="shared" si="4"/>
        <v>0</v>
      </c>
      <c r="Y49" s="2">
        <v>0</v>
      </c>
      <c r="Z49" s="2">
        <v>0</v>
      </c>
      <c r="AA49" s="2">
        <v>0</v>
      </c>
      <c r="AB49">
        <f t="shared" si="5"/>
        <v>0</v>
      </c>
      <c r="AC49" s="2">
        <v>0</v>
      </c>
      <c r="AD49" s="2">
        <v>0</v>
      </c>
      <c r="AE49" s="2">
        <v>0</v>
      </c>
      <c r="AF49" s="2">
        <v>0</v>
      </c>
      <c r="AG49" s="2">
        <v>0</v>
      </c>
      <c r="AH49" s="2">
        <v>0</v>
      </c>
      <c r="AI49" s="2">
        <v>1</v>
      </c>
      <c r="AJ49" s="2">
        <v>0</v>
      </c>
      <c r="AK49">
        <f t="shared" si="6"/>
        <v>0</v>
      </c>
      <c r="AL49" t="s">
        <v>9</v>
      </c>
    </row>
    <row r="50" spans="1:38" x14ac:dyDescent="0.35">
      <c r="A50">
        <v>59</v>
      </c>
      <c r="B50" t="s">
        <v>16</v>
      </c>
      <c r="C50">
        <v>1.61</v>
      </c>
      <c r="D50" s="5">
        <v>41</v>
      </c>
      <c r="E50" t="s">
        <v>52</v>
      </c>
      <c r="F50" t="s">
        <v>56</v>
      </c>
      <c r="G50" t="s">
        <v>166</v>
      </c>
      <c r="H50">
        <v>0</v>
      </c>
      <c r="I50" s="13">
        <v>0</v>
      </c>
      <c r="J50" s="2">
        <v>2</v>
      </c>
      <c r="K50">
        <v>2</v>
      </c>
      <c r="L50" s="2">
        <f t="shared" si="0"/>
        <v>0</v>
      </c>
      <c r="M50">
        <v>8</v>
      </c>
      <c r="N50">
        <v>8</v>
      </c>
      <c r="O50">
        <f t="shared" si="1"/>
        <v>0</v>
      </c>
      <c r="P50">
        <v>1</v>
      </c>
      <c r="Q50">
        <v>1</v>
      </c>
      <c r="R50">
        <f t="shared" si="2"/>
        <v>0</v>
      </c>
      <c r="S50">
        <v>1</v>
      </c>
      <c r="T50">
        <v>2</v>
      </c>
      <c r="U50">
        <f t="shared" si="3"/>
        <v>1</v>
      </c>
      <c r="V50">
        <v>1</v>
      </c>
      <c r="W50">
        <v>1</v>
      </c>
      <c r="X50">
        <f t="shared" si="4"/>
        <v>0</v>
      </c>
      <c r="Y50" s="2">
        <v>0</v>
      </c>
      <c r="Z50" s="5">
        <v>0</v>
      </c>
      <c r="AA50" s="5">
        <v>0</v>
      </c>
      <c r="AB50">
        <f t="shared" si="5"/>
        <v>0</v>
      </c>
      <c r="AC50" s="2">
        <v>0</v>
      </c>
      <c r="AD50" s="2">
        <v>0</v>
      </c>
      <c r="AE50" s="2">
        <v>0</v>
      </c>
      <c r="AF50" s="2">
        <v>0</v>
      </c>
      <c r="AG50" s="2">
        <v>0</v>
      </c>
      <c r="AH50" s="2">
        <v>0</v>
      </c>
      <c r="AI50" s="2">
        <v>0</v>
      </c>
      <c r="AJ50" s="2">
        <v>1</v>
      </c>
      <c r="AK50">
        <f t="shared" si="6"/>
        <v>0</v>
      </c>
      <c r="AL50" s="9" t="s">
        <v>43</v>
      </c>
    </row>
    <row r="51" spans="1:38" x14ac:dyDescent="0.35">
      <c r="A51">
        <v>60</v>
      </c>
      <c r="B51" t="s">
        <v>16</v>
      </c>
      <c r="C51">
        <v>1.61</v>
      </c>
      <c r="D51" s="2">
        <v>7</v>
      </c>
      <c r="E51" t="s">
        <v>52</v>
      </c>
      <c r="F51" t="s">
        <v>55</v>
      </c>
      <c r="G51" t="s">
        <v>166</v>
      </c>
      <c r="H51">
        <v>1</v>
      </c>
      <c r="I51" s="13">
        <v>1</v>
      </c>
      <c r="J51" s="2">
        <v>8</v>
      </c>
      <c r="K51">
        <v>8</v>
      </c>
      <c r="L51" s="2">
        <f t="shared" si="0"/>
        <v>0</v>
      </c>
      <c r="M51">
        <v>1</v>
      </c>
      <c r="N51">
        <v>1</v>
      </c>
      <c r="O51">
        <f t="shared" si="1"/>
        <v>0</v>
      </c>
      <c r="P51">
        <v>3</v>
      </c>
      <c r="Q51">
        <v>3</v>
      </c>
      <c r="R51">
        <f t="shared" si="2"/>
        <v>0</v>
      </c>
      <c r="S51">
        <v>4</v>
      </c>
      <c r="T51">
        <v>4</v>
      </c>
      <c r="U51">
        <f t="shared" si="3"/>
        <v>0</v>
      </c>
      <c r="V51">
        <v>2</v>
      </c>
      <c r="W51">
        <v>2</v>
      </c>
      <c r="X51">
        <f t="shared" si="4"/>
        <v>0</v>
      </c>
      <c r="Y51" s="2">
        <v>0</v>
      </c>
      <c r="Z51" s="5">
        <v>1</v>
      </c>
      <c r="AA51" s="5">
        <v>0</v>
      </c>
      <c r="AB51">
        <f t="shared" si="5"/>
        <v>1</v>
      </c>
      <c r="AC51" s="2">
        <v>0</v>
      </c>
      <c r="AD51" s="2">
        <v>0</v>
      </c>
      <c r="AE51" s="2">
        <v>0</v>
      </c>
      <c r="AF51" s="2">
        <v>0</v>
      </c>
      <c r="AG51" s="5">
        <v>1</v>
      </c>
      <c r="AH51" s="5">
        <v>1</v>
      </c>
      <c r="AI51" s="2">
        <v>0</v>
      </c>
      <c r="AJ51" s="2">
        <v>0</v>
      </c>
      <c r="AK51">
        <f t="shared" si="6"/>
        <v>0</v>
      </c>
      <c r="AL51" t="s">
        <v>140</v>
      </c>
    </row>
    <row r="52" spans="1:38" x14ac:dyDescent="0.35">
      <c r="A52">
        <v>61</v>
      </c>
      <c r="B52" t="s">
        <v>165</v>
      </c>
      <c r="C52">
        <v>1.47</v>
      </c>
      <c r="D52" s="2">
        <v>38</v>
      </c>
      <c r="E52" t="s">
        <v>162</v>
      </c>
      <c r="F52" t="s">
        <v>53</v>
      </c>
      <c r="G52" t="s">
        <v>166</v>
      </c>
      <c r="H52">
        <v>0</v>
      </c>
      <c r="I52" s="13">
        <v>1</v>
      </c>
      <c r="J52" s="2">
        <v>3</v>
      </c>
      <c r="K52">
        <v>3</v>
      </c>
      <c r="L52" s="2">
        <f t="shared" si="0"/>
        <v>0</v>
      </c>
      <c r="M52">
        <v>5</v>
      </c>
      <c r="N52">
        <v>6</v>
      </c>
      <c r="O52">
        <f t="shared" si="1"/>
        <v>1</v>
      </c>
      <c r="P52">
        <v>2</v>
      </c>
      <c r="Q52">
        <v>2</v>
      </c>
      <c r="R52">
        <f t="shared" si="2"/>
        <v>0</v>
      </c>
      <c r="S52">
        <v>3</v>
      </c>
      <c r="T52">
        <v>3</v>
      </c>
      <c r="U52">
        <f t="shared" si="3"/>
        <v>0</v>
      </c>
      <c r="V52">
        <v>1</v>
      </c>
      <c r="W52">
        <v>1</v>
      </c>
      <c r="X52">
        <f t="shared" si="4"/>
        <v>0</v>
      </c>
      <c r="Y52" s="2">
        <v>0</v>
      </c>
      <c r="Z52" s="2">
        <v>0</v>
      </c>
      <c r="AA52" s="2">
        <v>0</v>
      </c>
      <c r="AB52">
        <f t="shared" si="5"/>
        <v>0</v>
      </c>
      <c r="AC52" s="2">
        <v>0</v>
      </c>
      <c r="AD52" s="2">
        <v>0</v>
      </c>
      <c r="AE52" s="2">
        <v>0</v>
      </c>
      <c r="AF52" s="2">
        <v>0</v>
      </c>
      <c r="AG52" s="2">
        <v>0</v>
      </c>
      <c r="AH52" s="2">
        <v>0</v>
      </c>
      <c r="AI52" s="2">
        <v>0</v>
      </c>
      <c r="AJ52" s="2">
        <v>0</v>
      </c>
      <c r="AK52">
        <f t="shared" si="6"/>
        <v>1</v>
      </c>
      <c r="AL52" t="s">
        <v>140</v>
      </c>
    </row>
    <row r="53" spans="1:38" x14ac:dyDescent="0.35">
      <c r="A53">
        <v>63</v>
      </c>
      <c r="B53" t="s">
        <v>18</v>
      </c>
      <c r="C53">
        <v>-0.04</v>
      </c>
      <c r="D53" s="2">
        <v>87</v>
      </c>
      <c r="E53" t="s">
        <v>160</v>
      </c>
      <c r="F53" t="s">
        <v>53</v>
      </c>
      <c r="G53" t="s">
        <v>166</v>
      </c>
      <c r="H53">
        <v>0</v>
      </c>
      <c r="I53" s="13">
        <v>0.75</v>
      </c>
      <c r="J53" s="2">
        <v>4</v>
      </c>
      <c r="K53">
        <v>4</v>
      </c>
      <c r="L53" s="2">
        <f t="shared" si="0"/>
        <v>0</v>
      </c>
      <c r="M53">
        <v>3</v>
      </c>
      <c r="N53">
        <v>2</v>
      </c>
      <c r="O53">
        <f t="shared" si="1"/>
        <v>-1</v>
      </c>
      <c r="P53">
        <v>2</v>
      </c>
      <c r="Q53">
        <v>1</v>
      </c>
      <c r="R53">
        <f t="shared" si="2"/>
        <v>-1</v>
      </c>
      <c r="S53">
        <v>1</v>
      </c>
      <c r="T53">
        <v>2</v>
      </c>
      <c r="U53">
        <f t="shared" si="3"/>
        <v>1</v>
      </c>
      <c r="V53">
        <v>1</v>
      </c>
      <c r="W53">
        <v>1</v>
      </c>
      <c r="X53">
        <f t="shared" si="4"/>
        <v>0</v>
      </c>
      <c r="Y53" s="2">
        <v>0</v>
      </c>
      <c r="Z53" s="2">
        <v>1</v>
      </c>
      <c r="AA53" s="2">
        <v>0</v>
      </c>
      <c r="AB53">
        <f t="shared" si="5"/>
        <v>1</v>
      </c>
      <c r="AC53" s="2">
        <v>0</v>
      </c>
      <c r="AD53" s="2">
        <v>1</v>
      </c>
      <c r="AE53" s="2">
        <v>0</v>
      </c>
      <c r="AF53" s="2">
        <v>1</v>
      </c>
      <c r="AG53" s="2">
        <v>0</v>
      </c>
      <c r="AH53" s="2">
        <v>0</v>
      </c>
      <c r="AI53" s="2">
        <v>1</v>
      </c>
      <c r="AJ53" s="2">
        <v>0</v>
      </c>
      <c r="AK53">
        <f t="shared" si="6"/>
        <v>0</v>
      </c>
      <c r="AL53" t="s">
        <v>136</v>
      </c>
    </row>
    <row r="54" spans="1:38" x14ac:dyDescent="0.35">
      <c r="A54">
        <v>64</v>
      </c>
      <c r="B54" t="s">
        <v>16</v>
      </c>
      <c r="C54">
        <v>1.61</v>
      </c>
      <c r="D54" s="2">
        <v>7</v>
      </c>
      <c r="E54" t="s">
        <v>52</v>
      </c>
      <c r="F54" t="s">
        <v>56</v>
      </c>
      <c r="G54" t="s">
        <v>166</v>
      </c>
      <c r="H54">
        <v>0</v>
      </c>
      <c r="I54" s="13">
        <v>0.25</v>
      </c>
      <c r="J54" s="2">
        <v>9</v>
      </c>
      <c r="K54">
        <v>9</v>
      </c>
      <c r="L54" s="2">
        <f t="shared" si="0"/>
        <v>0</v>
      </c>
      <c r="M54">
        <v>7</v>
      </c>
      <c r="N54">
        <v>7</v>
      </c>
      <c r="O54">
        <f t="shared" si="1"/>
        <v>0</v>
      </c>
      <c r="P54">
        <v>3</v>
      </c>
      <c r="Q54">
        <v>3</v>
      </c>
      <c r="R54">
        <f t="shared" si="2"/>
        <v>0</v>
      </c>
      <c r="S54">
        <v>3</v>
      </c>
      <c r="T54">
        <v>1</v>
      </c>
      <c r="U54">
        <f t="shared" si="3"/>
        <v>-2</v>
      </c>
      <c r="V54">
        <v>1</v>
      </c>
      <c r="W54">
        <v>1</v>
      </c>
      <c r="X54">
        <f t="shared" si="4"/>
        <v>0</v>
      </c>
      <c r="Y54" s="2">
        <v>0</v>
      </c>
      <c r="Z54" s="5">
        <v>0</v>
      </c>
      <c r="AA54" s="5">
        <v>0</v>
      </c>
      <c r="AB54">
        <f t="shared" si="5"/>
        <v>0</v>
      </c>
      <c r="AC54" s="2">
        <v>0</v>
      </c>
      <c r="AD54" s="2">
        <v>0</v>
      </c>
      <c r="AE54" s="2">
        <v>0</v>
      </c>
      <c r="AF54" s="2">
        <v>0</v>
      </c>
      <c r="AG54" s="2">
        <v>0</v>
      </c>
      <c r="AH54" s="2">
        <v>0</v>
      </c>
      <c r="AI54" s="2">
        <v>0</v>
      </c>
      <c r="AJ54" s="2">
        <v>0</v>
      </c>
      <c r="AK54">
        <f t="shared" si="6"/>
        <v>1</v>
      </c>
      <c r="AL54" t="s">
        <v>140</v>
      </c>
    </row>
    <row r="55" spans="1:38" x14ac:dyDescent="0.35">
      <c r="A55">
        <v>65</v>
      </c>
      <c r="B55" t="s">
        <v>164</v>
      </c>
      <c r="C55">
        <v>0.44</v>
      </c>
      <c r="D55" s="2">
        <v>5</v>
      </c>
      <c r="E55" t="s">
        <v>162</v>
      </c>
      <c r="F55" t="s">
        <v>56</v>
      </c>
      <c r="G55" t="s">
        <v>166</v>
      </c>
      <c r="H55">
        <v>0</v>
      </c>
      <c r="I55" s="13">
        <v>0.25</v>
      </c>
      <c r="J55" s="2">
        <v>4</v>
      </c>
      <c r="K55">
        <v>5</v>
      </c>
      <c r="L55" s="2">
        <f t="shared" si="0"/>
        <v>1</v>
      </c>
      <c r="M55">
        <v>7</v>
      </c>
      <c r="N55">
        <v>6</v>
      </c>
      <c r="O55">
        <f t="shared" si="1"/>
        <v>-1</v>
      </c>
      <c r="P55">
        <v>1</v>
      </c>
      <c r="Q55">
        <v>1</v>
      </c>
      <c r="R55">
        <f t="shared" si="2"/>
        <v>0</v>
      </c>
      <c r="S55">
        <v>2</v>
      </c>
      <c r="T55">
        <v>2</v>
      </c>
      <c r="U55">
        <f t="shared" si="3"/>
        <v>0</v>
      </c>
      <c r="V55">
        <v>1</v>
      </c>
      <c r="W55">
        <v>2</v>
      </c>
      <c r="X55">
        <f t="shared" si="4"/>
        <v>1</v>
      </c>
      <c r="Y55" s="2">
        <v>0</v>
      </c>
      <c r="Z55" s="2">
        <v>1</v>
      </c>
      <c r="AA55" s="2">
        <v>1</v>
      </c>
      <c r="AB55">
        <f t="shared" si="5"/>
        <v>1</v>
      </c>
      <c r="AC55" s="2">
        <v>0</v>
      </c>
      <c r="AD55" s="2">
        <v>1</v>
      </c>
      <c r="AE55" s="2">
        <v>0</v>
      </c>
      <c r="AF55" s="2">
        <v>1</v>
      </c>
      <c r="AG55" s="2">
        <v>1</v>
      </c>
      <c r="AH55" s="2">
        <v>0</v>
      </c>
      <c r="AI55" s="2">
        <v>1</v>
      </c>
      <c r="AJ55" s="2">
        <v>0</v>
      </c>
      <c r="AK55">
        <f t="shared" si="6"/>
        <v>0</v>
      </c>
      <c r="AL55" t="s">
        <v>137</v>
      </c>
    </row>
    <row r="56" spans="1:38" x14ac:dyDescent="0.35">
      <c r="A56">
        <v>66</v>
      </c>
      <c r="B56" t="s">
        <v>18</v>
      </c>
      <c r="C56">
        <v>-0.04</v>
      </c>
      <c r="D56" s="2">
        <v>40</v>
      </c>
      <c r="E56" t="s">
        <v>162</v>
      </c>
      <c r="F56" t="s">
        <v>53</v>
      </c>
      <c r="G56" t="s">
        <v>166</v>
      </c>
      <c r="H56">
        <v>0</v>
      </c>
      <c r="I56" s="13">
        <v>0.25</v>
      </c>
      <c r="J56" s="2">
        <v>8</v>
      </c>
      <c r="K56">
        <v>10</v>
      </c>
      <c r="L56" s="2">
        <f t="shared" si="0"/>
        <v>2</v>
      </c>
      <c r="M56">
        <v>8</v>
      </c>
      <c r="N56">
        <v>8</v>
      </c>
      <c r="O56">
        <f t="shared" si="1"/>
        <v>0</v>
      </c>
      <c r="P56">
        <v>2</v>
      </c>
      <c r="Q56">
        <v>2</v>
      </c>
      <c r="R56">
        <f t="shared" si="2"/>
        <v>0</v>
      </c>
      <c r="S56">
        <v>5</v>
      </c>
      <c r="T56">
        <v>5</v>
      </c>
      <c r="U56">
        <f t="shared" si="3"/>
        <v>0</v>
      </c>
      <c r="V56">
        <v>0</v>
      </c>
      <c r="W56">
        <v>0</v>
      </c>
      <c r="X56">
        <f t="shared" si="4"/>
        <v>0</v>
      </c>
      <c r="Y56" s="2">
        <v>0</v>
      </c>
      <c r="Z56" s="2">
        <v>0</v>
      </c>
      <c r="AA56" s="2">
        <v>0</v>
      </c>
      <c r="AB56">
        <f t="shared" si="5"/>
        <v>0</v>
      </c>
      <c r="AC56" s="2">
        <v>0</v>
      </c>
      <c r="AD56" s="2">
        <v>1</v>
      </c>
      <c r="AE56" s="2">
        <v>0</v>
      </c>
      <c r="AF56" s="2">
        <v>1</v>
      </c>
      <c r="AG56" s="2">
        <v>0</v>
      </c>
      <c r="AH56" s="2">
        <v>1</v>
      </c>
      <c r="AI56" s="2">
        <v>0</v>
      </c>
      <c r="AJ56" s="2">
        <v>0</v>
      </c>
      <c r="AK56">
        <f t="shared" si="6"/>
        <v>0</v>
      </c>
      <c r="AL56" t="s">
        <v>140</v>
      </c>
    </row>
    <row r="57" spans="1:38" x14ac:dyDescent="0.35">
      <c r="A57">
        <v>67</v>
      </c>
      <c r="B57" t="s">
        <v>164</v>
      </c>
      <c r="C57">
        <v>0.44</v>
      </c>
      <c r="D57" s="2">
        <v>11</v>
      </c>
      <c r="E57" t="s">
        <v>61</v>
      </c>
      <c r="F57" t="s">
        <v>56</v>
      </c>
      <c r="G57" t="s">
        <v>166</v>
      </c>
      <c r="H57">
        <v>0</v>
      </c>
      <c r="I57" s="13">
        <v>0.25</v>
      </c>
      <c r="J57" s="2">
        <v>5</v>
      </c>
      <c r="K57">
        <v>5</v>
      </c>
      <c r="L57" s="2">
        <f t="shared" si="0"/>
        <v>0</v>
      </c>
      <c r="M57">
        <v>1</v>
      </c>
      <c r="N57">
        <v>1</v>
      </c>
      <c r="O57">
        <f t="shared" si="1"/>
        <v>0</v>
      </c>
      <c r="P57">
        <v>1</v>
      </c>
      <c r="Q57">
        <v>1</v>
      </c>
      <c r="R57">
        <f t="shared" si="2"/>
        <v>0</v>
      </c>
      <c r="S57">
        <v>3</v>
      </c>
      <c r="T57">
        <v>1</v>
      </c>
      <c r="U57">
        <f t="shared" si="3"/>
        <v>-2</v>
      </c>
      <c r="V57">
        <v>0</v>
      </c>
      <c r="W57">
        <v>0</v>
      </c>
      <c r="X57">
        <f t="shared" si="4"/>
        <v>0</v>
      </c>
      <c r="Y57" s="2">
        <v>0</v>
      </c>
      <c r="Z57" s="2">
        <v>1</v>
      </c>
      <c r="AA57" s="2">
        <v>1</v>
      </c>
      <c r="AB57">
        <f t="shared" ref="AB57:AB116" si="7">IF(Z57+AA57&gt;0,1,0)</f>
        <v>1</v>
      </c>
      <c r="AC57" s="2">
        <v>0</v>
      </c>
      <c r="AD57" s="2">
        <v>1</v>
      </c>
      <c r="AE57" s="2">
        <v>0</v>
      </c>
      <c r="AF57" s="2">
        <v>0</v>
      </c>
      <c r="AG57" s="2">
        <v>0</v>
      </c>
      <c r="AH57" s="2">
        <v>0</v>
      </c>
      <c r="AI57" s="2">
        <v>0</v>
      </c>
      <c r="AJ57" s="2">
        <v>0</v>
      </c>
      <c r="AK57">
        <f t="shared" si="6"/>
        <v>0</v>
      </c>
      <c r="AL57" t="s">
        <v>137</v>
      </c>
    </row>
    <row r="58" spans="1:38" x14ac:dyDescent="0.35">
      <c r="A58">
        <v>68</v>
      </c>
      <c r="B58" t="s">
        <v>18</v>
      </c>
      <c r="C58">
        <v>-0.04</v>
      </c>
      <c r="D58" s="2">
        <v>40</v>
      </c>
      <c r="E58" t="s">
        <v>160</v>
      </c>
      <c r="F58" t="s">
        <v>53</v>
      </c>
      <c r="G58" t="s">
        <v>166</v>
      </c>
      <c r="H58">
        <v>0</v>
      </c>
      <c r="I58" s="13">
        <v>0</v>
      </c>
      <c r="J58" s="2">
        <v>1</v>
      </c>
      <c r="K58">
        <v>1</v>
      </c>
      <c r="L58" s="2">
        <f t="shared" si="0"/>
        <v>0</v>
      </c>
      <c r="M58">
        <v>6</v>
      </c>
      <c r="N58">
        <v>4</v>
      </c>
      <c r="O58">
        <f t="shared" si="1"/>
        <v>-2</v>
      </c>
      <c r="P58">
        <v>1</v>
      </c>
      <c r="Q58">
        <v>1</v>
      </c>
      <c r="R58">
        <f t="shared" si="2"/>
        <v>0</v>
      </c>
      <c r="S58">
        <v>3</v>
      </c>
      <c r="T58">
        <v>1</v>
      </c>
      <c r="U58">
        <f t="shared" si="3"/>
        <v>-2</v>
      </c>
      <c r="V58">
        <v>0</v>
      </c>
      <c r="W58">
        <v>0</v>
      </c>
      <c r="X58">
        <f t="shared" si="4"/>
        <v>0</v>
      </c>
      <c r="Y58" s="2">
        <v>0</v>
      </c>
      <c r="Z58" s="2">
        <v>0</v>
      </c>
      <c r="AA58" s="2">
        <v>1</v>
      </c>
      <c r="AB58">
        <f t="shared" si="7"/>
        <v>1</v>
      </c>
      <c r="AC58" s="2">
        <v>0</v>
      </c>
      <c r="AD58" s="2">
        <v>1</v>
      </c>
      <c r="AE58" s="2">
        <v>0</v>
      </c>
      <c r="AF58" s="2">
        <v>1</v>
      </c>
      <c r="AG58" s="2">
        <v>0</v>
      </c>
      <c r="AH58" s="2">
        <v>1</v>
      </c>
      <c r="AI58" s="2">
        <v>0</v>
      </c>
      <c r="AJ58" s="2">
        <v>1</v>
      </c>
      <c r="AK58">
        <f t="shared" si="6"/>
        <v>0</v>
      </c>
      <c r="AL58" t="s">
        <v>47</v>
      </c>
    </row>
    <row r="59" spans="1:38" x14ac:dyDescent="0.35">
      <c r="A59">
        <v>69</v>
      </c>
      <c r="B59" t="s">
        <v>16</v>
      </c>
      <c r="C59">
        <v>1.61</v>
      </c>
      <c r="D59" s="2">
        <v>7</v>
      </c>
      <c r="E59" t="s">
        <v>52</v>
      </c>
      <c r="F59" t="s">
        <v>56</v>
      </c>
      <c r="G59" t="s">
        <v>166</v>
      </c>
      <c r="H59">
        <v>1</v>
      </c>
      <c r="I59" s="13">
        <v>1</v>
      </c>
      <c r="J59" s="2">
        <v>16</v>
      </c>
      <c r="K59">
        <v>15</v>
      </c>
      <c r="L59" s="2">
        <f t="shared" si="0"/>
        <v>-1</v>
      </c>
      <c r="M59">
        <v>5</v>
      </c>
      <c r="N59">
        <v>1</v>
      </c>
      <c r="O59">
        <f t="shared" si="1"/>
        <v>-4</v>
      </c>
      <c r="P59">
        <v>3</v>
      </c>
      <c r="Q59">
        <v>3</v>
      </c>
      <c r="R59">
        <f t="shared" si="2"/>
        <v>0</v>
      </c>
      <c r="S59">
        <v>3</v>
      </c>
      <c r="T59">
        <v>3</v>
      </c>
      <c r="U59">
        <f t="shared" si="3"/>
        <v>0</v>
      </c>
      <c r="V59">
        <v>1</v>
      </c>
      <c r="W59">
        <v>2</v>
      </c>
      <c r="X59">
        <f t="shared" si="4"/>
        <v>1</v>
      </c>
      <c r="Y59" s="2">
        <v>0</v>
      </c>
      <c r="Z59" s="5">
        <v>1</v>
      </c>
      <c r="AA59" s="5">
        <v>1</v>
      </c>
      <c r="AB59">
        <f t="shared" si="7"/>
        <v>1</v>
      </c>
      <c r="AC59" s="2">
        <v>1</v>
      </c>
      <c r="AD59" s="2">
        <v>1</v>
      </c>
      <c r="AE59" s="2">
        <v>0</v>
      </c>
      <c r="AF59" s="2">
        <v>1</v>
      </c>
      <c r="AG59" s="5">
        <v>1</v>
      </c>
      <c r="AH59" s="5">
        <v>0</v>
      </c>
      <c r="AI59" s="2">
        <v>1</v>
      </c>
      <c r="AJ59" s="2">
        <v>0</v>
      </c>
      <c r="AK59">
        <f t="shared" si="6"/>
        <v>0</v>
      </c>
      <c r="AL59" t="s">
        <v>137</v>
      </c>
    </row>
    <row r="60" spans="1:38" x14ac:dyDescent="0.35">
      <c r="A60">
        <v>70</v>
      </c>
      <c r="B60" t="s">
        <v>16</v>
      </c>
      <c r="C60">
        <v>1.61</v>
      </c>
      <c r="D60" s="2">
        <v>7</v>
      </c>
      <c r="E60" t="s">
        <v>52</v>
      </c>
      <c r="F60" t="s">
        <v>55</v>
      </c>
      <c r="G60" t="s">
        <v>167</v>
      </c>
      <c r="H60">
        <v>0</v>
      </c>
      <c r="I60" s="13">
        <v>0.5</v>
      </c>
      <c r="J60" s="2">
        <v>8</v>
      </c>
      <c r="K60">
        <v>8</v>
      </c>
      <c r="L60" s="2">
        <f t="shared" si="0"/>
        <v>0</v>
      </c>
      <c r="M60">
        <v>8</v>
      </c>
      <c r="N60">
        <v>8</v>
      </c>
      <c r="O60">
        <f t="shared" si="1"/>
        <v>0</v>
      </c>
      <c r="P60">
        <v>3</v>
      </c>
      <c r="Q60">
        <v>3</v>
      </c>
      <c r="R60">
        <f t="shared" si="2"/>
        <v>0</v>
      </c>
      <c r="S60">
        <v>3</v>
      </c>
      <c r="T60">
        <v>3</v>
      </c>
      <c r="U60">
        <f t="shared" si="3"/>
        <v>0</v>
      </c>
      <c r="V60">
        <v>1</v>
      </c>
      <c r="W60">
        <v>1</v>
      </c>
      <c r="X60">
        <f t="shared" si="4"/>
        <v>0</v>
      </c>
      <c r="Y60" s="2">
        <v>0</v>
      </c>
      <c r="Z60" s="5">
        <v>1</v>
      </c>
      <c r="AA60" s="5">
        <v>1</v>
      </c>
      <c r="AB60">
        <f t="shared" si="7"/>
        <v>1</v>
      </c>
      <c r="AC60" s="2">
        <v>1</v>
      </c>
      <c r="AD60" s="2">
        <v>0</v>
      </c>
      <c r="AE60" s="2">
        <v>0</v>
      </c>
      <c r="AF60" s="2">
        <v>1</v>
      </c>
      <c r="AG60" s="2">
        <v>0</v>
      </c>
      <c r="AH60" s="2">
        <v>0</v>
      </c>
      <c r="AI60" s="2">
        <v>1</v>
      </c>
      <c r="AJ60" s="2">
        <v>1</v>
      </c>
      <c r="AK60">
        <f t="shared" si="6"/>
        <v>0</v>
      </c>
      <c r="AL60" t="s">
        <v>138</v>
      </c>
    </row>
    <row r="61" spans="1:38" x14ac:dyDescent="0.35">
      <c r="A61">
        <v>71</v>
      </c>
      <c r="B61" t="s">
        <v>16</v>
      </c>
      <c r="C61">
        <v>1.61</v>
      </c>
      <c r="D61" s="2">
        <v>9</v>
      </c>
      <c r="E61" t="s">
        <v>52</v>
      </c>
      <c r="F61" t="s">
        <v>54</v>
      </c>
      <c r="G61" t="s">
        <v>166</v>
      </c>
      <c r="H61">
        <v>1</v>
      </c>
      <c r="I61" s="13">
        <v>1</v>
      </c>
      <c r="J61" s="2">
        <v>4</v>
      </c>
      <c r="K61">
        <v>3</v>
      </c>
      <c r="L61" s="2">
        <f t="shared" si="0"/>
        <v>-1</v>
      </c>
      <c r="M61">
        <v>9</v>
      </c>
      <c r="N61">
        <v>1</v>
      </c>
      <c r="O61">
        <f t="shared" si="1"/>
        <v>-8</v>
      </c>
      <c r="P61">
        <v>2</v>
      </c>
      <c r="Q61">
        <v>2</v>
      </c>
      <c r="R61">
        <f t="shared" si="2"/>
        <v>0</v>
      </c>
      <c r="S61">
        <v>2</v>
      </c>
      <c r="T61">
        <v>3</v>
      </c>
      <c r="U61">
        <f t="shared" si="3"/>
        <v>1</v>
      </c>
      <c r="V61">
        <v>1</v>
      </c>
      <c r="W61">
        <v>2</v>
      </c>
      <c r="X61">
        <f t="shared" si="4"/>
        <v>1</v>
      </c>
      <c r="Y61" s="2">
        <v>0</v>
      </c>
      <c r="Z61" s="5">
        <v>0</v>
      </c>
      <c r="AA61" s="5">
        <v>0</v>
      </c>
      <c r="AB61">
        <f t="shared" si="7"/>
        <v>0</v>
      </c>
      <c r="AC61" s="2">
        <v>0</v>
      </c>
      <c r="AD61" s="2">
        <v>0</v>
      </c>
      <c r="AE61" s="2">
        <v>0</v>
      </c>
      <c r="AF61" s="2">
        <v>1</v>
      </c>
      <c r="AG61" s="5">
        <v>1</v>
      </c>
      <c r="AH61" s="5">
        <v>0</v>
      </c>
      <c r="AI61" s="2">
        <v>1</v>
      </c>
      <c r="AJ61" s="2">
        <v>0</v>
      </c>
      <c r="AK61">
        <f t="shared" si="6"/>
        <v>0</v>
      </c>
      <c r="AL61" t="s">
        <v>8</v>
      </c>
    </row>
    <row r="62" spans="1:38" x14ac:dyDescent="0.35">
      <c r="A62">
        <v>72</v>
      </c>
      <c r="B62" t="s">
        <v>18</v>
      </c>
      <c r="C62">
        <v>-0.04</v>
      </c>
      <c r="D62" s="2">
        <v>89</v>
      </c>
      <c r="E62" t="s">
        <v>160</v>
      </c>
      <c r="F62" t="s">
        <v>55</v>
      </c>
      <c r="G62" t="s">
        <v>166</v>
      </c>
      <c r="H62">
        <v>0</v>
      </c>
      <c r="I62" s="13">
        <v>0</v>
      </c>
      <c r="J62" s="2">
        <v>3</v>
      </c>
      <c r="K62">
        <v>3</v>
      </c>
      <c r="L62" s="2">
        <f t="shared" si="0"/>
        <v>0</v>
      </c>
      <c r="M62">
        <v>8</v>
      </c>
      <c r="N62">
        <v>8</v>
      </c>
      <c r="O62">
        <f t="shared" si="1"/>
        <v>0</v>
      </c>
      <c r="P62">
        <v>2</v>
      </c>
      <c r="Q62">
        <v>2</v>
      </c>
      <c r="R62">
        <f t="shared" si="2"/>
        <v>0</v>
      </c>
      <c r="S62">
        <v>1</v>
      </c>
      <c r="T62">
        <v>1</v>
      </c>
      <c r="U62">
        <f t="shared" si="3"/>
        <v>0</v>
      </c>
      <c r="V62">
        <v>1</v>
      </c>
      <c r="W62">
        <v>1</v>
      </c>
      <c r="X62">
        <f t="shared" si="4"/>
        <v>0</v>
      </c>
      <c r="Y62" s="2">
        <v>0</v>
      </c>
      <c r="Z62" s="2">
        <v>0</v>
      </c>
      <c r="AA62" s="2">
        <v>0</v>
      </c>
      <c r="AB62">
        <f t="shared" si="7"/>
        <v>0</v>
      </c>
      <c r="AC62" s="2">
        <v>0</v>
      </c>
      <c r="AD62" s="2">
        <v>0</v>
      </c>
      <c r="AE62" s="2">
        <v>0</v>
      </c>
      <c r="AF62" s="2">
        <v>0</v>
      </c>
      <c r="AG62" s="2">
        <v>0</v>
      </c>
      <c r="AH62" s="2">
        <v>0</v>
      </c>
      <c r="AI62" s="2">
        <v>0</v>
      </c>
      <c r="AJ62" s="2">
        <v>0</v>
      </c>
      <c r="AK62">
        <f t="shared" si="6"/>
        <v>1</v>
      </c>
      <c r="AL62" t="s">
        <v>140</v>
      </c>
    </row>
    <row r="63" spans="1:38" x14ac:dyDescent="0.35">
      <c r="A63">
        <v>73</v>
      </c>
      <c r="B63" t="s">
        <v>16</v>
      </c>
      <c r="C63">
        <v>1.61</v>
      </c>
      <c r="D63" s="2">
        <v>8</v>
      </c>
      <c r="E63" t="s">
        <v>52</v>
      </c>
      <c r="F63" t="s">
        <v>53</v>
      </c>
      <c r="G63" t="s">
        <v>167</v>
      </c>
      <c r="H63">
        <v>0</v>
      </c>
      <c r="I63" s="13">
        <v>0.25</v>
      </c>
      <c r="J63" s="2">
        <v>3</v>
      </c>
      <c r="K63">
        <v>1</v>
      </c>
      <c r="L63" s="2">
        <f t="shared" si="0"/>
        <v>-2</v>
      </c>
      <c r="M63">
        <v>9</v>
      </c>
      <c r="N63">
        <v>9</v>
      </c>
      <c r="O63">
        <f t="shared" si="1"/>
        <v>0</v>
      </c>
      <c r="P63">
        <v>3</v>
      </c>
      <c r="Q63">
        <v>3</v>
      </c>
      <c r="R63">
        <f t="shared" si="2"/>
        <v>0</v>
      </c>
      <c r="S63">
        <v>1</v>
      </c>
      <c r="T63">
        <v>1</v>
      </c>
      <c r="U63">
        <f t="shared" si="3"/>
        <v>0</v>
      </c>
      <c r="V63">
        <v>1</v>
      </c>
      <c r="W63">
        <v>1</v>
      </c>
      <c r="X63">
        <f t="shared" si="4"/>
        <v>0</v>
      </c>
      <c r="Y63" s="2">
        <v>0</v>
      </c>
      <c r="Z63" s="5">
        <v>1</v>
      </c>
      <c r="AA63" s="5">
        <v>0</v>
      </c>
      <c r="AB63">
        <f t="shared" si="7"/>
        <v>1</v>
      </c>
      <c r="AC63" s="2">
        <v>0</v>
      </c>
      <c r="AD63" s="2">
        <v>0</v>
      </c>
      <c r="AE63" s="2">
        <v>0</v>
      </c>
      <c r="AF63" s="2">
        <v>1</v>
      </c>
      <c r="AG63" s="2">
        <v>0</v>
      </c>
      <c r="AH63" s="2">
        <v>0</v>
      </c>
      <c r="AI63" s="2">
        <v>0</v>
      </c>
      <c r="AJ63" s="2">
        <v>0</v>
      </c>
      <c r="AK63">
        <f t="shared" si="6"/>
        <v>0</v>
      </c>
      <c r="AL63" t="s">
        <v>136</v>
      </c>
    </row>
    <row r="64" spans="1:38" x14ac:dyDescent="0.35">
      <c r="A64">
        <v>74</v>
      </c>
      <c r="B64" t="s">
        <v>16</v>
      </c>
      <c r="C64">
        <v>1.61</v>
      </c>
      <c r="D64" s="5">
        <v>8</v>
      </c>
      <c r="E64" t="s">
        <v>52</v>
      </c>
      <c r="F64" t="s">
        <v>56</v>
      </c>
      <c r="G64" t="s">
        <v>166</v>
      </c>
      <c r="H64">
        <v>1</v>
      </c>
      <c r="I64" s="13">
        <v>1</v>
      </c>
      <c r="J64" s="2">
        <v>6</v>
      </c>
      <c r="K64">
        <v>6</v>
      </c>
      <c r="L64" s="2">
        <f t="shared" si="0"/>
        <v>0</v>
      </c>
      <c r="M64">
        <v>4</v>
      </c>
      <c r="N64">
        <v>2</v>
      </c>
      <c r="O64">
        <f t="shared" si="1"/>
        <v>-2</v>
      </c>
      <c r="P64">
        <v>2</v>
      </c>
      <c r="Q64">
        <v>1</v>
      </c>
      <c r="R64">
        <f t="shared" si="2"/>
        <v>-1</v>
      </c>
      <c r="S64">
        <v>4</v>
      </c>
      <c r="T64">
        <v>2</v>
      </c>
      <c r="U64">
        <f t="shared" si="3"/>
        <v>-2</v>
      </c>
      <c r="V64">
        <v>2</v>
      </c>
      <c r="W64">
        <v>2</v>
      </c>
      <c r="X64">
        <f t="shared" si="4"/>
        <v>0</v>
      </c>
      <c r="Y64" s="2">
        <v>1</v>
      </c>
      <c r="Z64" s="5">
        <v>1</v>
      </c>
      <c r="AA64" s="5">
        <v>0</v>
      </c>
      <c r="AB64">
        <f t="shared" si="7"/>
        <v>1</v>
      </c>
      <c r="AC64" s="2">
        <v>1</v>
      </c>
      <c r="AD64" s="2">
        <v>1</v>
      </c>
      <c r="AE64" s="2">
        <v>0</v>
      </c>
      <c r="AF64" s="2">
        <v>1</v>
      </c>
      <c r="AG64" s="5">
        <v>1</v>
      </c>
      <c r="AH64" s="5">
        <v>0</v>
      </c>
      <c r="AI64" s="2">
        <v>1</v>
      </c>
      <c r="AJ64" s="2">
        <v>0</v>
      </c>
      <c r="AK64">
        <f t="shared" si="6"/>
        <v>0</v>
      </c>
      <c r="AL64" s="9" t="s">
        <v>6</v>
      </c>
    </row>
    <row r="65" spans="1:38" x14ac:dyDescent="0.35">
      <c r="A65">
        <v>75</v>
      </c>
      <c r="B65" t="s">
        <v>165</v>
      </c>
      <c r="C65">
        <v>1.47</v>
      </c>
      <c r="D65" s="2">
        <v>39</v>
      </c>
      <c r="E65" t="s">
        <v>162</v>
      </c>
      <c r="F65" t="s">
        <v>56</v>
      </c>
      <c r="G65" t="s">
        <v>166</v>
      </c>
      <c r="H65">
        <v>0</v>
      </c>
      <c r="I65" s="13">
        <v>0.75</v>
      </c>
      <c r="J65" s="2">
        <v>3</v>
      </c>
      <c r="K65">
        <v>3</v>
      </c>
      <c r="L65" s="2">
        <f t="shared" si="0"/>
        <v>0</v>
      </c>
      <c r="M65">
        <v>6</v>
      </c>
      <c r="N65">
        <v>3</v>
      </c>
      <c r="O65">
        <f t="shared" si="1"/>
        <v>-3</v>
      </c>
      <c r="P65">
        <v>3</v>
      </c>
      <c r="Q65">
        <v>3</v>
      </c>
      <c r="R65">
        <f t="shared" si="2"/>
        <v>0</v>
      </c>
      <c r="S65">
        <v>5</v>
      </c>
      <c r="T65">
        <v>5</v>
      </c>
      <c r="U65">
        <f t="shared" si="3"/>
        <v>0</v>
      </c>
      <c r="V65">
        <v>1</v>
      </c>
      <c r="W65">
        <v>1</v>
      </c>
      <c r="X65">
        <f t="shared" si="4"/>
        <v>0</v>
      </c>
      <c r="Y65" s="2">
        <v>0</v>
      </c>
      <c r="Z65" s="2">
        <v>0</v>
      </c>
      <c r="AA65" s="2">
        <v>1</v>
      </c>
      <c r="AB65">
        <f t="shared" si="7"/>
        <v>1</v>
      </c>
      <c r="AC65" s="2">
        <v>1</v>
      </c>
      <c r="AD65" s="2">
        <v>1</v>
      </c>
      <c r="AE65" s="2">
        <v>0</v>
      </c>
      <c r="AF65" s="2">
        <v>1</v>
      </c>
      <c r="AG65" s="2">
        <v>0</v>
      </c>
      <c r="AH65" s="2">
        <v>0</v>
      </c>
      <c r="AI65" s="2">
        <v>1</v>
      </c>
      <c r="AJ65" s="2">
        <v>1</v>
      </c>
      <c r="AK65">
        <f t="shared" si="6"/>
        <v>0</v>
      </c>
      <c r="AL65" t="s">
        <v>9</v>
      </c>
    </row>
    <row r="66" spans="1:38" x14ac:dyDescent="0.35">
      <c r="A66">
        <v>76</v>
      </c>
      <c r="B66" t="s">
        <v>164</v>
      </c>
      <c r="C66">
        <v>0.44</v>
      </c>
      <c r="D66" s="5">
        <v>12</v>
      </c>
      <c r="E66" t="s">
        <v>162</v>
      </c>
      <c r="F66" t="s">
        <v>56</v>
      </c>
      <c r="G66" t="s">
        <v>166</v>
      </c>
      <c r="H66">
        <v>0</v>
      </c>
      <c r="I66" s="13">
        <v>0.5</v>
      </c>
      <c r="J66" s="2">
        <v>2</v>
      </c>
      <c r="K66">
        <v>2</v>
      </c>
      <c r="L66" s="2">
        <f t="shared" si="0"/>
        <v>0</v>
      </c>
      <c r="M66">
        <v>7</v>
      </c>
      <c r="N66">
        <v>7</v>
      </c>
      <c r="O66">
        <f t="shared" si="1"/>
        <v>0</v>
      </c>
      <c r="P66">
        <v>3</v>
      </c>
      <c r="Q66">
        <v>3</v>
      </c>
      <c r="R66">
        <f t="shared" si="2"/>
        <v>0</v>
      </c>
      <c r="S66">
        <v>3</v>
      </c>
      <c r="T66">
        <v>3</v>
      </c>
      <c r="U66">
        <f t="shared" si="3"/>
        <v>0</v>
      </c>
      <c r="V66">
        <v>1</v>
      </c>
      <c r="W66">
        <v>1</v>
      </c>
      <c r="X66">
        <f t="shared" si="4"/>
        <v>0</v>
      </c>
      <c r="Y66" s="2">
        <v>1</v>
      </c>
      <c r="Z66" s="2">
        <v>1</v>
      </c>
      <c r="AA66" s="2">
        <v>1</v>
      </c>
      <c r="AB66">
        <f t="shared" si="7"/>
        <v>1</v>
      </c>
      <c r="AC66" s="2">
        <v>0</v>
      </c>
      <c r="AD66" s="2">
        <v>1</v>
      </c>
      <c r="AE66" s="2">
        <v>0</v>
      </c>
      <c r="AF66" s="2">
        <v>1</v>
      </c>
      <c r="AG66" s="2">
        <v>0</v>
      </c>
      <c r="AH66" s="2">
        <v>0</v>
      </c>
      <c r="AI66" s="2">
        <v>1</v>
      </c>
      <c r="AJ66" s="2">
        <v>0</v>
      </c>
      <c r="AK66">
        <f t="shared" si="6"/>
        <v>0</v>
      </c>
      <c r="AL66" s="9" t="s">
        <v>39</v>
      </c>
    </row>
    <row r="67" spans="1:38" x14ac:dyDescent="0.35">
      <c r="A67">
        <v>78</v>
      </c>
      <c r="B67" t="s">
        <v>16</v>
      </c>
      <c r="C67">
        <v>1.61</v>
      </c>
      <c r="D67" s="2">
        <v>30</v>
      </c>
      <c r="E67" t="s">
        <v>52</v>
      </c>
      <c r="F67" t="s">
        <v>59</v>
      </c>
      <c r="G67" t="s">
        <v>167</v>
      </c>
      <c r="H67">
        <v>0</v>
      </c>
      <c r="I67" s="13">
        <v>0</v>
      </c>
      <c r="J67" s="2">
        <v>10</v>
      </c>
      <c r="K67">
        <v>10</v>
      </c>
      <c r="L67" s="2">
        <f t="shared" ref="L67:L130" si="8">K67-J67</f>
        <v>0</v>
      </c>
      <c r="M67">
        <v>9</v>
      </c>
      <c r="N67">
        <v>8</v>
      </c>
      <c r="O67">
        <f t="shared" ref="O67:O130" si="9">N67-M67</f>
        <v>-1</v>
      </c>
      <c r="P67">
        <v>1</v>
      </c>
      <c r="Q67">
        <v>1</v>
      </c>
      <c r="R67">
        <f t="shared" ref="R67:R130" si="10">Q67-P67</f>
        <v>0</v>
      </c>
      <c r="S67">
        <v>1</v>
      </c>
      <c r="T67">
        <v>1</v>
      </c>
      <c r="U67">
        <f t="shared" ref="U67:U130" si="11">T67-S67</f>
        <v>0</v>
      </c>
      <c r="V67">
        <v>0</v>
      </c>
      <c r="W67">
        <v>0</v>
      </c>
      <c r="X67">
        <f t="shared" ref="X67:X130" si="12">W67-V67</f>
        <v>0</v>
      </c>
      <c r="Y67" s="2">
        <v>0</v>
      </c>
      <c r="Z67" s="5">
        <v>0</v>
      </c>
      <c r="AA67" s="5">
        <v>0</v>
      </c>
      <c r="AB67">
        <f t="shared" si="7"/>
        <v>0</v>
      </c>
      <c r="AC67" s="2">
        <v>0</v>
      </c>
      <c r="AD67" s="2">
        <v>0</v>
      </c>
      <c r="AE67" s="2">
        <v>0</v>
      </c>
      <c r="AF67" s="2">
        <v>0</v>
      </c>
      <c r="AG67" s="2">
        <v>0</v>
      </c>
      <c r="AH67" s="2">
        <v>0</v>
      </c>
      <c r="AI67" s="2">
        <v>0</v>
      </c>
      <c r="AJ67" s="2">
        <v>0</v>
      </c>
      <c r="AK67">
        <f t="shared" ref="AK67:AK130" si="13">IF(Y67+Z67+AA67+AC67+AD67+AE67+AF67+AG67+AH67+AI67+AJ67=0,1,0)</f>
        <v>1</v>
      </c>
      <c r="AL67" t="s">
        <v>140</v>
      </c>
    </row>
    <row r="68" spans="1:38" x14ac:dyDescent="0.35">
      <c r="A68">
        <v>79</v>
      </c>
      <c r="B68" t="s">
        <v>14</v>
      </c>
      <c r="C68">
        <v>1.42</v>
      </c>
      <c r="D68" s="5">
        <v>4</v>
      </c>
      <c r="E68" t="s">
        <v>160</v>
      </c>
      <c r="F68" t="s">
        <v>59</v>
      </c>
      <c r="G68" t="s">
        <v>167</v>
      </c>
      <c r="H68">
        <v>0</v>
      </c>
      <c r="I68" s="13">
        <v>0.25</v>
      </c>
      <c r="J68" s="2">
        <v>2</v>
      </c>
      <c r="K68">
        <v>2</v>
      </c>
      <c r="L68" s="2">
        <f t="shared" si="8"/>
        <v>0</v>
      </c>
      <c r="M68">
        <v>5</v>
      </c>
      <c r="N68">
        <v>5</v>
      </c>
      <c r="O68">
        <f t="shared" si="9"/>
        <v>0</v>
      </c>
      <c r="P68">
        <v>3</v>
      </c>
      <c r="Q68">
        <v>3</v>
      </c>
      <c r="R68">
        <f t="shared" si="10"/>
        <v>0</v>
      </c>
      <c r="S68">
        <v>2</v>
      </c>
      <c r="T68">
        <v>2</v>
      </c>
      <c r="U68">
        <f t="shared" si="11"/>
        <v>0</v>
      </c>
      <c r="V68">
        <v>1</v>
      </c>
      <c r="W68">
        <v>1</v>
      </c>
      <c r="X68">
        <f t="shared" si="12"/>
        <v>0</v>
      </c>
      <c r="Y68" s="2">
        <v>0</v>
      </c>
      <c r="Z68" s="2">
        <v>0</v>
      </c>
      <c r="AA68" s="2">
        <v>0</v>
      </c>
      <c r="AB68">
        <f t="shared" si="7"/>
        <v>0</v>
      </c>
      <c r="AC68" s="2">
        <v>0</v>
      </c>
      <c r="AD68" s="2">
        <v>1</v>
      </c>
      <c r="AE68" s="2">
        <v>0</v>
      </c>
      <c r="AF68" s="2">
        <v>1</v>
      </c>
      <c r="AG68" s="2">
        <v>0</v>
      </c>
      <c r="AH68" s="2">
        <v>0</v>
      </c>
      <c r="AI68" s="2">
        <v>1</v>
      </c>
      <c r="AJ68" s="2">
        <v>0</v>
      </c>
      <c r="AK68">
        <f t="shared" si="13"/>
        <v>0</v>
      </c>
      <c r="AL68" s="9" t="s">
        <v>6</v>
      </c>
    </row>
    <row r="69" spans="1:38" x14ac:dyDescent="0.35">
      <c r="A69">
        <v>80</v>
      </c>
      <c r="B69" t="s">
        <v>165</v>
      </c>
      <c r="C69">
        <v>1.47</v>
      </c>
      <c r="D69" s="2">
        <v>46</v>
      </c>
      <c r="E69" t="s">
        <v>162</v>
      </c>
      <c r="F69" t="s">
        <v>53</v>
      </c>
      <c r="G69" t="s">
        <v>167</v>
      </c>
      <c r="H69">
        <v>0</v>
      </c>
      <c r="I69" s="13">
        <v>1</v>
      </c>
      <c r="J69" s="2">
        <v>4</v>
      </c>
      <c r="K69">
        <v>4</v>
      </c>
      <c r="L69" s="2">
        <f t="shared" si="8"/>
        <v>0</v>
      </c>
      <c r="M69">
        <v>5</v>
      </c>
      <c r="N69">
        <v>3</v>
      </c>
      <c r="O69">
        <f t="shared" si="9"/>
        <v>-2</v>
      </c>
      <c r="P69">
        <v>2</v>
      </c>
      <c r="Q69">
        <v>2</v>
      </c>
      <c r="R69">
        <f t="shared" si="10"/>
        <v>0</v>
      </c>
      <c r="S69">
        <v>3</v>
      </c>
      <c r="T69">
        <v>5</v>
      </c>
      <c r="U69">
        <f t="shared" si="11"/>
        <v>2</v>
      </c>
      <c r="V69">
        <v>1</v>
      </c>
      <c r="W69">
        <v>1</v>
      </c>
      <c r="X69">
        <f t="shared" si="12"/>
        <v>0</v>
      </c>
      <c r="Y69" s="2">
        <v>0</v>
      </c>
      <c r="Z69" s="2">
        <v>0</v>
      </c>
      <c r="AA69" s="2">
        <v>0</v>
      </c>
      <c r="AB69">
        <f t="shared" si="7"/>
        <v>0</v>
      </c>
      <c r="AC69" s="2">
        <v>0</v>
      </c>
      <c r="AD69" s="2">
        <v>1</v>
      </c>
      <c r="AE69" s="2">
        <v>0</v>
      </c>
      <c r="AF69" s="2">
        <v>1</v>
      </c>
      <c r="AG69" s="2">
        <v>0</v>
      </c>
      <c r="AH69" s="2">
        <v>0</v>
      </c>
      <c r="AI69" s="2">
        <v>0</v>
      </c>
      <c r="AJ69" s="2">
        <v>1</v>
      </c>
      <c r="AK69">
        <f t="shared" si="13"/>
        <v>0</v>
      </c>
      <c r="AL69" t="s">
        <v>43</v>
      </c>
    </row>
    <row r="70" spans="1:38" x14ac:dyDescent="0.35">
      <c r="A70">
        <v>81</v>
      </c>
      <c r="B70" t="s">
        <v>165</v>
      </c>
      <c r="C70">
        <v>1.47</v>
      </c>
      <c r="D70" s="2">
        <v>125</v>
      </c>
      <c r="E70" t="s">
        <v>162</v>
      </c>
      <c r="F70" t="s">
        <v>59</v>
      </c>
      <c r="G70" t="s">
        <v>167</v>
      </c>
      <c r="H70">
        <v>0</v>
      </c>
      <c r="I70" s="13">
        <v>1</v>
      </c>
      <c r="J70" s="2">
        <v>2</v>
      </c>
      <c r="K70">
        <v>3</v>
      </c>
      <c r="L70" s="2">
        <f t="shared" si="8"/>
        <v>1</v>
      </c>
      <c r="M70">
        <v>8</v>
      </c>
      <c r="N70">
        <v>5</v>
      </c>
      <c r="O70">
        <f t="shared" si="9"/>
        <v>-3</v>
      </c>
      <c r="P70">
        <v>2</v>
      </c>
      <c r="Q70">
        <v>2</v>
      </c>
      <c r="R70">
        <f t="shared" si="10"/>
        <v>0</v>
      </c>
      <c r="S70">
        <v>2</v>
      </c>
      <c r="T70">
        <v>2</v>
      </c>
      <c r="U70">
        <f t="shared" si="11"/>
        <v>0</v>
      </c>
      <c r="V70">
        <v>1</v>
      </c>
      <c r="W70">
        <v>1</v>
      </c>
      <c r="X70">
        <f t="shared" si="12"/>
        <v>0</v>
      </c>
      <c r="Y70" s="2">
        <v>0</v>
      </c>
      <c r="Z70" s="2">
        <v>0</v>
      </c>
      <c r="AA70" s="2">
        <v>0</v>
      </c>
      <c r="AB70">
        <f t="shared" si="7"/>
        <v>0</v>
      </c>
      <c r="AC70" s="2">
        <v>0</v>
      </c>
      <c r="AD70" s="2">
        <v>1</v>
      </c>
      <c r="AE70" s="2">
        <v>0</v>
      </c>
      <c r="AF70" s="2">
        <v>1</v>
      </c>
      <c r="AG70" s="2">
        <v>0</v>
      </c>
      <c r="AH70" s="2">
        <v>1</v>
      </c>
      <c r="AI70" s="2">
        <v>1</v>
      </c>
      <c r="AJ70" s="2">
        <v>0</v>
      </c>
      <c r="AK70">
        <f t="shared" si="13"/>
        <v>0</v>
      </c>
      <c r="AL70" t="s">
        <v>9</v>
      </c>
    </row>
    <row r="71" spans="1:38" x14ac:dyDescent="0.35">
      <c r="A71">
        <v>82</v>
      </c>
      <c r="B71" t="s">
        <v>18</v>
      </c>
      <c r="C71">
        <v>-0.04</v>
      </c>
      <c r="D71" s="2">
        <v>15</v>
      </c>
      <c r="E71" t="s">
        <v>160</v>
      </c>
      <c r="F71" t="s">
        <v>59</v>
      </c>
      <c r="G71" t="s">
        <v>166</v>
      </c>
      <c r="H71">
        <v>0</v>
      </c>
      <c r="I71" s="13">
        <v>0.5</v>
      </c>
      <c r="J71" s="2">
        <v>5</v>
      </c>
      <c r="K71">
        <v>5</v>
      </c>
      <c r="L71" s="2">
        <f t="shared" si="8"/>
        <v>0</v>
      </c>
      <c r="M71">
        <v>8</v>
      </c>
      <c r="N71">
        <v>7</v>
      </c>
      <c r="O71">
        <f t="shared" si="9"/>
        <v>-1</v>
      </c>
      <c r="P71">
        <v>2</v>
      </c>
      <c r="Q71">
        <v>2</v>
      </c>
      <c r="R71">
        <f t="shared" si="10"/>
        <v>0</v>
      </c>
      <c r="S71">
        <v>2</v>
      </c>
      <c r="T71">
        <v>3</v>
      </c>
      <c r="U71">
        <f t="shared" si="11"/>
        <v>1</v>
      </c>
      <c r="V71">
        <v>1</v>
      </c>
      <c r="W71">
        <v>1</v>
      </c>
      <c r="X71">
        <f t="shared" si="12"/>
        <v>0</v>
      </c>
      <c r="Y71" s="2">
        <v>0</v>
      </c>
      <c r="Z71" s="2">
        <v>1</v>
      </c>
      <c r="AA71" s="2">
        <v>0</v>
      </c>
      <c r="AB71">
        <f t="shared" si="7"/>
        <v>1</v>
      </c>
      <c r="AC71" s="2">
        <v>0</v>
      </c>
      <c r="AD71" s="2">
        <v>1</v>
      </c>
      <c r="AE71" s="2">
        <v>0</v>
      </c>
      <c r="AF71" s="2">
        <v>1</v>
      </c>
      <c r="AG71" s="2">
        <v>0</v>
      </c>
      <c r="AH71" s="2">
        <v>0</v>
      </c>
      <c r="AI71" s="2">
        <v>1</v>
      </c>
      <c r="AJ71" s="2">
        <v>0</v>
      </c>
      <c r="AK71">
        <f t="shared" si="13"/>
        <v>0</v>
      </c>
      <c r="AL71" t="s">
        <v>136</v>
      </c>
    </row>
    <row r="72" spans="1:38" x14ac:dyDescent="0.35">
      <c r="A72">
        <v>83</v>
      </c>
      <c r="B72" t="s">
        <v>164</v>
      </c>
      <c r="C72">
        <v>0.44</v>
      </c>
      <c r="D72" s="5">
        <v>9</v>
      </c>
      <c r="E72" t="s">
        <v>162</v>
      </c>
      <c r="F72" t="s">
        <v>59</v>
      </c>
      <c r="G72" t="s">
        <v>166</v>
      </c>
      <c r="H72">
        <v>0</v>
      </c>
      <c r="I72" s="13">
        <v>0.25</v>
      </c>
      <c r="J72" s="2">
        <v>2</v>
      </c>
      <c r="K72">
        <v>1</v>
      </c>
      <c r="L72" s="2">
        <f t="shared" si="8"/>
        <v>-1</v>
      </c>
      <c r="M72">
        <v>7</v>
      </c>
      <c r="N72">
        <v>5</v>
      </c>
      <c r="O72">
        <f t="shared" si="9"/>
        <v>-2</v>
      </c>
      <c r="P72">
        <v>1</v>
      </c>
      <c r="Q72">
        <v>1</v>
      </c>
      <c r="R72">
        <f t="shared" si="10"/>
        <v>0</v>
      </c>
      <c r="S72">
        <v>1</v>
      </c>
      <c r="T72">
        <v>2</v>
      </c>
      <c r="U72">
        <f t="shared" si="11"/>
        <v>1</v>
      </c>
      <c r="V72">
        <v>1</v>
      </c>
      <c r="W72">
        <v>1</v>
      </c>
      <c r="X72">
        <f t="shared" si="12"/>
        <v>0</v>
      </c>
      <c r="Y72" s="2">
        <v>0</v>
      </c>
      <c r="Z72" s="2">
        <v>0</v>
      </c>
      <c r="AA72" s="2">
        <v>0</v>
      </c>
      <c r="AB72">
        <f t="shared" si="7"/>
        <v>0</v>
      </c>
      <c r="AC72" s="2">
        <v>0</v>
      </c>
      <c r="AD72" s="2">
        <v>1</v>
      </c>
      <c r="AE72" s="2">
        <v>0</v>
      </c>
      <c r="AF72" s="2">
        <v>1</v>
      </c>
      <c r="AG72" s="2">
        <v>0</v>
      </c>
      <c r="AH72" s="2">
        <v>0</v>
      </c>
      <c r="AI72" s="2">
        <v>0</v>
      </c>
      <c r="AJ72" s="2">
        <v>0</v>
      </c>
      <c r="AK72">
        <f t="shared" si="13"/>
        <v>0</v>
      </c>
      <c r="AL72" s="9" t="s">
        <v>39</v>
      </c>
    </row>
    <row r="73" spans="1:38" x14ac:dyDescent="0.35">
      <c r="A73">
        <v>84</v>
      </c>
      <c r="B73" t="s">
        <v>164</v>
      </c>
      <c r="C73">
        <v>0.44</v>
      </c>
      <c r="D73" s="2">
        <v>12</v>
      </c>
      <c r="E73" t="s">
        <v>61</v>
      </c>
      <c r="F73" t="s">
        <v>56</v>
      </c>
      <c r="G73" t="s">
        <v>166</v>
      </c>
      <c r="H73">
        <v>0</v>
      </c>
      <c r="I73" s="13">
        <v>0</v>
      </c>
      <c r="J73" s="2">
        <v>11</v>
      </c>
      <c r="K73">
        <v>11</v>
      </c>
      <c r="L73" s="2">
        <f t="shared" si="8"/>
        <v>0</v>
      </c>
      <c r="M73">
        <v>5</v>
      </c>
      <c r="N73">
        <v>5</v>
      </c>
      <c r="O73">
        <f t="shared" si="9"/>
        <v>0</v>
      </c>
      <c r="P73">
        <v>2</v>
      </c>
      <c r="Q73">
        <v>2</v>
      </c>
      <c r="R73">
        <f t="shared" si="10"/>
        <v>0</v>
      </c>
      <c r="S73">
        <v>1</v>
      </c>
      <c r="T73">
        <v>1</v>
      </c>
      <c r="U73">
        <f t="shared" si="11"/>
        <v>0</v>
      </c>
      <c r="V73">
        <v>1</v>
      </c>
      <c r="W73">
        <v>1</v>
      </c>
      <c r="X73">
        <f t="shared" si="12"/>
        <v>0</v>
      </c>
      <c r="Y73" s="2">
        <v>0</v>
      </c>
      <c r="Z73" s="2">
        <v>0</v>
      </c>
      <c r="AA73" s="2">
        <v>0</v>
      </c>
      <c r="AB73">
        <f t="shared" si="7"/>
        <v>0</v>
      </c>
      <c r="AC73" s="2">
        <v>0</v>
      </c>
      <c r="AD73" s="2">
        <v>0</v>
      </c>
      <c r="AE73" s="2">
        <v>0</v>
      </c>
      <c r="AF73" s="2">
        <v>0</v>
      </c>
      <c r="AG73" s="2">
        <v>0</v>
      </c>
      <c r="AH73" s="2">
        <v>0</v>
      </c>
      <c r="AI73" s="2">
        <v>0</v>
      </c>
      <c r="AJ73" s="2">
        <v>0</v>
      </c>
      <c r="AK73">
        <f t="shared" si="13"/>
        <v>1</v>
      </c>
      <c r="AL73" t="s">
        <v>140</v>
      </c>
    </row>
    <row r="74" spans="1:38" x14ac:dyDescent="0.35">
      <c r="A74">
        <v>85</v>
      </c>
      <c r="B74" t="s">
        <v>18</v>
      </c>
      <c r="C74">
        <v>-0.04</v>
      </c>
      <c r="D74" s="2">
        <v>40</v>
      </c>
      <c r="E74" t="s">
        <v>62</v>
      </c>
      <c r="F74" t="s">
        <v>53</v>
      </c>
      <c r="G74" t="s">
        <v>166</v>
      </c>
      <c r="H74">
        <v>0</v>
      </c>
      <c r="I74" s="13">
        <v>0</v>
      </c>
      <c r="J74" s="2">
        <v>1</v>
      </c>
      <c r="K74">
        <v>3</v>
      </c>
      <c r="L74" s="2">
        <f t="shared" si="8"/>
        <v>2</v>
      </c>
      <c r="M74">
        <v>9</v>
      </c>
      <c r="N74">
        <v>9</v>
      </c>
      <c r="O74">
        <f t="shared" si="9"/>
        <v>0</v>
      </c>
      <c r="P74">
        <v>3</v>
      </c>
      <c r="Q74">
        <v>3</v>
      </c>
      <c r="R74">
        <f t="shared" si="10"/>
        <v>0</v>
      </c>
      <c r="S74">
        <v>1</v>
      </c>
      <c r="T74">
        <v>1</v>
      </c>
      <c r="U74">
        <f t="shared" si="11"/>
        <v>0</v>
      </c>
      <c r="V74">
        <v>0</v>
      </c>
      <c r="W74">
        <v>0</v>
      </c>
      <c r="X74">
        <f t="shared" si="12"/>
        <v>0</v>
      </c>
      <c r="Y74" s="2">
        <v>0</v>
      </c>
      <c r="Z74" s="2">
        <v>0</v>
      </c>
      <c r="AA74" s="2">
        <v>0</v>
      </c>
      <c r="AB74">
        <f t="shared" si="7"/>
        <v>0</v>
      </c>
      <c r="AC74" s="2">
        <v>0</v>
      </c>
      <c r="AD74" s="2">
        <v>1</v>
      </c>
      <c r="AE74" s="2">
        <v>0</v>
      </c>
      <c r="AF74" s="2">
        <v>0</v>
      </c>
      <c r="AG74" s="2">
        <v>0</v>
      </c>
      <c r="AH74" s="2">
        <v>1</v>
      </c>
      <c r="AI74" s="2">
        <v>1</v>
      </c>
      <c r="AJ74" s="2">
        <v>0</v>
      </c>
      <c r="AK74">
        <f t="shared" si="13"/>
        <v>0</v>
      </c>
      <c r="AL74" t="s">
        <v>6</v>
      </c>
    </row>
    <row r="75" spans="1:38" x14ac:dyDescent="0.35">
      <c r="A75">
        <v>86</v>
      </c>
      <c r="B75" t="s">
        <v>165</v>
      </c>
      <c r="C75">
        <v>1.47</v>
      </c>
      <c r="D75" s="2">
        <v>30</v>
      </c>
      <c r="E75" t="s">
        <v>162</v>
      </c>
      <c r="F75" t="s">
        <v>53</v>
      </c>
      <c r="G75" t="s">
        <v>166</v>
      </c>
      <c r="H75">
        <v>0</v>
      </c>
      <c r="I75" s="13">
        <v>0</v>
      </c>
      <c r="J75" s="2">
        <v>4</v>
      </c>
      <c r="K75">
        <v>4</v>
      </c>
      <c r="L75" s="2">
        <f t="shared" si="8"/>
        <v>0</v>
      </c>
      <c r="M75">
        <v>6</v>
      </c>
      <c r="N75">
        <v>6</v>
      </c>
      <c r="O75">
        <f t="shared" si="9"/>
        <v>0</v>
      </c>
      <c r="P75">
        <v>2</v>
      </c>
      <c r="Q75">
        <v>2</v>
      </c>
      <c r="R75">
        <f t="shared" si="10"/>
        <v>0</v>
      </c>
      <c r="S75">
        <v>3</v>
      </c>
      <c r="T75">
        <v>3</v>
      </c>
      <c r="U75">
        <f t="shared" si="11"/>
        <v>0</v>
      </c>
      <c r="V75">
        <v>1</v>
      </c>
      <c r="W75">
        <v>1</v>
      </c>
      <c r="X75">
        <f t="shared" si="12"/>
        <v>0</v>
      </c>
      <c r="Y75" s="2">
        <v>0</v>
      </c>
      <c r="Z75" s="2">
        <v>0</v>
      </c>
      <c r="AA75" s="2">
        <v>0</v>
      </c>
      <c r="AB75">
        <f t="shared" si="7"/>
        <v>0</v>
      </c>
      <c r="AC75" s="2">
        <v>0</v>
      </c>
      <c r="AD75" s="2">
        <v>0</v>
      </c>
      <c r="AE75" s="2">
        <v>0</v>
      </c>
      <c r="AF75" s="2">
        <v>0</v>
      </c>
      <c r="AG75" s="2">
        <v>0</v>
      </c>
      <c r="AH75" s="2">
        <v>0</v>
      </c>
      <c r="AI75" s="2">
        <v>0</v>
      </c>
      <c r="AJ75" s="2">
        <v>0</v>
      </c>
      <c r="AK75">
        <f t="shared" si="13"/>
        <v>1</v>
      </c>
      <c r="AL75" t="s">
        <v>140</v>
      </c>
    </row>
    <row r="76" spans="1:38" x14ac:dyDescent="0.35">
      <c r="A76">
        <v>87</v>
      </c>
      <c r="B76" t="s">
        <v>18</v>
      </c>
      <c r="C76">
        <v>-0.04</v>
      </c>
      <c r="D76" s="2">
        <v>87</v>
      </c>
      <c r="E76" t="s">
        <v>141</v>
      </c>
      <c r="F76" t="s">
        <v>59</v>
      </c>
      <c r="G76" t="s">
        <v>166</v>
      </c>
      <c r="H76">
        <v>0</v>
      </c>
      <c r="I76" s="13">
        <v>0.25</v>
      </c>
      <c r="J76" s="2">
        <v>3</v>
      </c>
      <c r="K76">
        <v>3</v>
      </c>
      <c r="L76" s="2">
        <f t="shared" si="8"/>
        <v>0</v>
      </c>
      <c r="M76">
        <v>7</v>
      </c>
      <c r="N76">
        <v>5</v>
      </c>
      <c r="O76">
        <f t="shared" si="9"/>
        <v>-2</v>
      </c>
      <c r="P76">
        <v>2</v>
      </c>
      <c r="Q76">
        <v>2</v>
      </c>
      <c r="R76">
        <f t="shared" si="10"/>
        <v>0</v>
      </c>
      <c r="S76">
        <v>1</v>
      </c>
      <c r="T76">
        <v>1</v>
      </c>
      <c r="U76">
        <f t="shared" si="11"/>
        <v>0</v>
      </c>
      <c r="V76">
        <v>0</v>
      </c>
      <c r="W76">
        <v>0</v>
      </c>
      <c r="X76">
        <f t="shared" si="12"/>
        <v>0</v>
      </c>
      <c r="Y76" s="2">
        <v>0</v>
      </c>
      <c r="Z76" s="2">
        <v>0</v>
      </c>
      <c r="AA76" s="2">
        <v>1</v>
      </c>
      <c r="AB76">
        <f t="shared" si="7"/>
        <v>1</v>
      </c>
      <c r="AC76" s="2">
        <v>0</v>
      </c>
      <c r="AD76" s="2">
        <v>1</v>
      </c>
      <c r="AE76" s="2">
        <v>0</v>
      </c>
      <c r="AF76" s="2">
        <v>1</v>
      </c>
      <c r="AG76" s="2">
        <v>0</v>
      </c>
      <c r="AH76" s="2">
        <v>0</v>
      </c>
      <c r="AI76" s="2">
        <v>0</v>
      </c>
      <c r="AJ76" s="2">
        <v>1</v>
      </c>
      <c r="AK76">
        <f t="shared" si="13"/>
        <v>0</v>
      </c>
      <c r="AL76" t="s">
        <v>6</v>
      </c>
    </row>
    <row r="77" spans="1:38" x14ac:dyDescent="0.35">
      <c r="A77">
        <v>88</v>
      </c>
      <c r="B77" t="s">
        <v>16</v>
      </c>
      <c r="C77">
        <v>1.61</v>
      </c>
      <c r="D77" s="2">
        <v>147</v>
      </c>
      <c r="E77" t="s">
        <v>52</v>
      </c>
      <c r="F77" t="s">
        <v>53</v>
      </c>
      <c r="G77" t="s">
        <v>167</v>
      </c>
      <c r="H77">
        <v>0</v>
      </c>
      <c r="I77" s="13">
        <v>0</v>
      </c>
      <c r="J77" s="2">
        <v>4</v>
      </c>
      <c r="K77">
        <v>4</v>
      </c>
      <c r="L77" s="2">
        <f t="shared" si="8"/>
        <v>0</v>
      </c>
      <c r="M77">
        <v>8</v>
      </c>
      <c r="N77">
        <v>8</v>
      </c>
      <c r="O77">
        <f t="shared" si="9"/>
        <v>0</v>
      </c>
      <c r="P77">
        <v>2</v>
      </c>
      <c r="Q77">
        <v>2</v>
      </c>
      <c r="R77">
        <f t="shared" si="10"/>
        <v>0</v>
      </c>
      <c r="S77">
        <v>1</v>
      </c>
      <c r="T77">
        <v>1</v>
      </c>
      <c r="U77">
        <f t="shared" si="11"/>
        <v>0</v>
      </c>
      <c r="V77">
        <v>1</v>
      </c>
      <c r="W77">
        <v>0</v>
      </c>
      <c r="X77">
        <f t="shared" si="12"/>
        <v>-1</v>
      </c>
      <c r="Y77" s="2">
        <v>0</v>
      </c>
      <c r="Z77" s="2">
        <v>0</v>
      </c>
      <c r="AA77" s="2">
        <v>0</v>
      </c>
      <c r="AB77">
        <f t="shared" si="7"/>
        <v>0</v>
      </c>
      <c r="AC77" s="2">
        <v>0</v>
      </c>
      <c r="AD77" s="2">
        <v>0</v>
      </c>
      <c r="AE77" s="2">
        <v>0</v>
      </c>
      <c r="AF77" s="2">
        <v>0</v>
      </c>
      <c r="AG77" s="2">
        <v>0</v>
      </c>
      <c r="AH77" s="2">
        <v>0</v>
      </c>
      <c r="AI77" s="2">
        <v>0</v>
      </c>
      <c r="AJ77" s="2">
        <v>0</v>
      </c>
      <c r="AK77">
        <f t="shared" si="13"/>
        <v>1</v>
      </c>
      <c r="AL77" t="s">
        <v>140</v>
      </c>
    </row>
    <row r="78" spans="1:38" x14ac:dyDescent="0.35">
      <c r="A78">
        <v>89</v>
      </c>
      <c r="B78" t="s">
        <v>18</v>
      </c>
      <c r="C78">
        <v>-0.04</v>
      </c>
      <c r="D78" s="2">
        <v>60</v>
      </c>
      <c r="E78" t="s">
        <v>62</v>
      </c>
      <c r="F78" t="s">
        <v>55</v>
      </c>
      <c r="G78" t="s">
        <v>166</v>
      </c>
      <c r="H78">
        <v>0</v>
      </c>
      <c r="I78" s="13">
        <v>0.5</v>
      </c>
      <c r="J78" s="2">
        <v>4</v>
      </c>
      <c r="K78">
        <v>2</v>
      </c>
      <c r="L78" s="2">
        <f t="shared" si="8"/>
        <v>-2</v>
      </c>
      <c r="M78">
        <v>5</v>
      </c>
      <c r="N78">
        <v>5</v>
      </c>
      <c r="O78">
        <f t="shared" si="9"/>
        <v>0</v>
      </c>
      <c r="P78">
        <v>2</v>
      </c>
      <c r="Q78">
        <v>2</v>
      </c>
      <c r="R78">
        <f t="shared" si="10"/>
        <v>0</v>
      </c>
      <c r="S78">
        <v>2</v>
      </c>
      <c r="T78">
        <v>3</v>
      </c>
      <c r="U78">
        <f t="shared" si="11"/>
        <v>1</v>
      </c>
      <c r="V78">
        <v>2</v>
      </c>
      <c r="W78">
        <v>2</v>
      </c>
      <c r="X78">
        <f t="shared" si="12"/>
        <v>0</v>
      </c>
      <c r="Y78" s="2">
        <v>0</v>
      </c>
      <c r="Z78" s="2">
        <v>1</v>
      </c>
      <c r="AA78" s="2">
        <v>0</v>
      </c>
      <c r="AB78">
        <f t="shared" si="7"/>
        <v>1</v>
      </c>
      <c r="AC78" s="2">
        <v>0</v>
      </c>
      <c r="AD78" s="2">
        <v>1</v>
      </c>
      <c r="AE78" s="2">
        <v>0</v>
      </c>
      <c r="AF78" s="2">
        <v>1</v>
      </c>
      <c r="AG78" s="2">
        <v>1</v>
      </c>
      <c r="AH78" s="2">
        <v>1</v>
      </c>
      <c r="AI78" s="2">
        <v>1</v>
      </c>
      <c r="AJ78" s="2">
        <v>0</v>
      </c>
      <c r="AK78">
        <f t="shared" si="13"/>
        <v>0</v>
      </c>
      <c r="AL78" t="s">
        <v>6</v>
      </c>
    </row>
    <row r="79" spans="1:38" x14ac:dyDescent="0.35">
      <c r="A79">
        <v>90</v>
      </c>
      <c r="B79" t="s">
        <v>18</v>
      </c>
      <c r="C79">
        <v>-0.04</v>
      </c>
      <c r="D79" s="2">
        <v>89</v>
      </c>
      <c r="E79" t="s">
        <v>160</v>
      </c>
      <c r="F79" t="s">
        <v>53</v>
      </c>
      <c r="G79" t="s">
        <v>166</v>
      </c>
      <c r="H79">
        <v>0</v>
      </c>
      <c r="I79" s="13">
        <v>0.25</v>
      </c>
      <c r="J79" s="2">
        <v>3</v>
      </c>
      <c r="K79">
        <v>3</v>
      </c>
      <c r="L79" s="2">
        <f t="shared" si="8"/>
        <v>0</v>
      </c>
      <c r="M79">
        <v>4</v>
      </c>
      <c r="N79">
        <v>4</v>
      </c>
      <c r="O79">
        <f t="shared" si="9"/>
        <v>0</v>
      </c>
      <c r="P79">
        <v>2</v>
      </c>
      <c r="Q79">
        <v>2</v>
      </c>
      <c r="R79">
        <f t="shared" si="10"/>
        <v>0</v>
      </c>
      <c r="S79">
        <v>1</v>
      </c>
      <c r="T79">
        <v>1</v>
      </c>
      <c r="U79">
        <f t="shared" si="11"/>
        <v>0</v>
      </c>
      <c r="V79">
        <v>0</v>
      </c>
      <c r="W79">
        <v>0</v>
      </c>
      <c r="X79">
        <f t="shared" si="12"/>
        <v>0</v>
      </c>
      <c r="Y79" s="2">
        <v>0</v>
      </c>
      <c r="Z79" s="2">
        <v>0</v>
      </c>
      <c r="AA79" s="2">
        <v>1</v>
      </c>
      <c r="AB79">
        <f t="shared" si="7"/>
        <v>1</v>
      </c>
      <c r="AC79" s="2">
        <v>0</v>
      </c>
      <c r="AD79" s="2">
        <v>1</v>
      </c>
      <c r="AE79" s="2">
        <v>0</v>
      </c>
      <c r="AF79" s="2">
        <v>0</v>
      </c>
      <c r="AG79" s="2">
        <v>0</v>
      </c>
      <c r="AH79" s="2">
        <v>0</v>
      </c>
      <c r="AI79" s="2">
        <v>0</v>
      </c>
      <c r="AJ79" s="2">
        <v>0</v>
      </c>
      <c r="AK79">
        <f t="shared" si="13"/>
        <v>0</v>
      </c>
      <c r="AL79" t="s">
        <v>137</v>
      </c>
    </row>
    <row r="80" spans="1:38" x14ac:dyDescent="0.35">
      <c r="A80">
        <v>91</v>
      </c>
      <c r="B80" t="s">
        <v>18</v>
      </c>
      <c r="C80">
        <v>-0.04</v>
      </c>
      <c r="D80" s="2">
        <v>7</v>
      </c>
      <c r="E80" t="s">
        <v>62</v>
      </c>
      <c r="F80" t="s">
        <v>55</v>
      </c>
      <c r="G80" t="s">
        <v>166</v>
      </c>
      <c r="H80">
        <v>0</v>
      </c>
      <c r="I80" s="13">
        <v>0.25</v>
      </c>
      <c r="J80" s="2">
        <v>5</v>
      </c>
      <c r="K80">
        <v>5</v>
      </c>
      <c r="L80" s="2">
        <f t="shared" si="8"/>
        <v>0</v>
      </c>
      <c r="M80">
        <v>8</v>
      </c>
      <c r="N80">
        <v>8</v>
      </c>
      <c r="O80">
        <f t="shared" si="9"/>
        <v>0</v>
      </c>
      <c r="P80">
        <v>1</v>
      </c>
      <c r="Q80">
        <v>1</v>
      </c>
      <c r="R80">
        <f t="shared" si="10"/>
        <v>0</v>
      </c>
      <c r="S80">
        <v>1</v>
      </c>
      <c r="T80">
        <v>1</v>
      </c>
      <c r="U80">
        <f t="shared" si="11"/>
        <v>0</v>
      </c>
      <c r="V80">
        <v>1</v>
      </c>
      <c r="W80">
        <v>1</v>
      </c>
      <c r="X80">
        <f t="shared" si="12"/>
        <v>0</v>
      </c>
      <c r="Y80" s="2">
        <v>0</v>
      </c>
      <c r="Z80" s="2">
        <v>0</v>
      </c>
      <c r="AA80" s="2">
        <v>0</v>
      </c>
      <c r="AB80">
        <f t="shared" si="7"/>
        <v>0</v>
      </c>
      <c r="AC80" s="2">
        <v>0</v>
      </c>
      <c r="AD80" s="2">
        <v>1</v>
      </c>
      <c r="AE80" s="2">
        <v>0</v>
      </c>
      <c r="AF80" s="2">
        <v>0</v>
      </c>
      <c r="AG80" s="2">
        <v>0</v>
      </c>
      <c r="AH80" s="2">
        <v>1</v>
      </c>
      <c r="AI80" s="2">
        <v>0</v>
      </c>
      <c r="AJ80" s="2">
        <v>0</v>
      </c>
      <c r="AK80">
        <f t="shared" si="13"/>
        <v>0</v>
      </c>
      <c r="AL80" t="s">
        <v>47</v>
      </c>
    </row>
    <row r="81" spans="1:38" x14ac:dyDescent="0.35">
      <c r="A81">
        <v>93</v>
      </c>
      <c r="B81" t="s">
        <v>16</v>
      </c>
      <c r="C81">
        <v>1.61</v>
      </c>
      <c r="D81" s="2">
        <v>7</v>
      </c>
      <c r="E81" t="s">
        <v>52</v>
      </c>
      <c r="F81" t="s">
        <v>59</v>
      </c>
      <c r="G81" t="s">
        <v>166</v>
      </c>
      <c r="H81">
        <v>0</v>
      </c>
      <c r="I81" s="13">
        <v>1</v>
      </c>
      <c r="J81" s="2">
        <v>16</v>
      </c>
      <c r="K81">
        <v>16</v>
      </c>
      <c r="L81" s="2">
        <f t="shared" si="8"/>
        <v>0</v>
      </c>
      <c r="M81">
        <v>9</v>
      </c>
      <c r="N81">
        <v>6</v>
      </c>
      <c r="O81">
        <f t="shared" si="9"/>
        <v>-3</v>
      </c>
      <c r="P81">
        <v>2</v>
      </c>
      <c r="Q81">
        <v>2</v>
      </c>
      <c r="R81">
        <f t="shared" si="10"/>
        <v>0</v>
      </c>
      <c r="S81">
        <v>5</v>
      </c>
      <c r="T81">
        <v>1</v>
      </c>
      <c r="U81">
        <f t="shared" si="11"/>
        <v>-4</v>
      </c>
      <c r="V81">
        <v>1</v>
      </c>
      <c r="W81">
        <v>1</v>
      </c>
      <c r="X81">
        <f t="shared" si="12"/>
        <v>0</v>
      </c>
      <c r="Y81" s="2">
        <v>0</v>
      </c>
      <c r="Z81" s="2">
        <v>0</v>
      </c>
      <c r="AA81" s="2">
        <v>0</v>
      </c>
      <c r="AB81">
        <f t="shared" si="7"/>
        <v>0</v>
      </c>
      <c r="AC81" s="2">
        <v>0</v>
      </c>
      <c r="AD81" s="2">
        <v>1</v>
      </c>
      <c r="AE81" s="2">
        <v>0</v>
      </c>
      <c r="AF81" s="2">
        <v>0</v>
      </c>
      <c r="AG81" s="2">
        <v>0</v>
      </c>
      <c r="AH81" s="2">
        <v>0</v>
      </c>
      <c r="AI81" s="2">
        <v>0</v>
      </c>
      <c r="AJ81" s="2">
        <v>0</v>
      </c>
      <c r="AK81">
        <f t="shared" si="13"/>
        <v>0</v>
      </c>
      <c r="AL81" t="s">
        <v>6</v>
      </c>
    </row>
    <row r="82" spans="1:38" x14ac:dyDescent="0.35">
      <c r="A82">
        <v>94</v>
      </c>
      <c r="B82" t="s">
        <v>164</v>
      </c>
      <c r="C82">
        <v>0.44</v>
      </c>
      <c r="D82" s="2">
        <v>15</v>
      </c>
      <c r="E82" t="s">
        <v>61</v>
      </c>
      <c r="F82" t="s">
        <v>56</v>
      </c>
      <c r="G82" t="s">
        <v>167</v>
      </c>
      <c r="H82">
        <v>0</v>
      </c>
      <c r="I82" s="13">
        <v>0</v>
      </c>
      <c r="J82" s="2">
        <v>4</v>
      </c>
      <c r="K82">
        <v>4</v>
      </c>
      <c r="L82" s="2">
        <f t="shared" si="8"/>
        <v>0</v>
      </c>
      <c r="M82">
        <v>1</v>
      </c>
      <c r="N82">
        <v>1</v>
      </c>
      <c r="O82">
        <f t="shared" si="9"/>
        <v>0</v>
      </c>
      <c r="P82">
        <v>2</v>
      </c>
      <c r="Q82">
        <v>2</v>
      </c>
      <c r="R82">
        <f t="shared" si="10"/>
        <v>0</v>
      </c>
      <c r="S82">
        <v>5</v>
      </c>
      <c r="T82">
        <v>5</v>
      </c>
      <c r="U82">
        <f t="shared" si="11"/>
        <v>0</v>
      </c>
      <c r="V82">
        <v>0</v>
      </c>
      <c r="W82">
        <v>1</v>
      </c>
      <c r="X82">
        <f t="shared" si="12"/>
        <v>1</v>
      </c>
      <c r="Y82" s="2">
        <v>0</v>
      </c>
      <c r="Z82" s="2">
        <v>0</v>
      </c>
      <c r="AA82" s="2">
        <v>0</v>
      </c>
      <c r="AB82">
        <f t="shared" si="7"/>
        <v>0</v>
      </c>
      <c r="AC82" s="2">
        <v>1</v>
      </c>
      <c r="AD82" s="2">
        <v>1</v>
      </c>
      <c r="AE82" s="2">
        <v>0</v>
      </c>
      <c r="AF82" s="2">
        <v>0</v>
      </c>
      <c r="AG82" s="2">
        <v>0</v>
      </c>
      <c r="AH82" s="2">
        <v>1</v>
      </c>
      <c r="AI82" s="2">
        <v>1</v>
      </c>
      <c r="AJ82" s="2">
        <v>0</v>
      </c>
      <c r="AK82">
        <f t="shared" si="13"/>
        <v>0</v>
      </c>
      <c r="AL82" t="s">
        <v>6</v>
      </c>
    </row>
    <row r="83" spans="1:38" x14ac:dyDescent="0.35">
      <c r="A83">
        <v>95</v>
      </c>
      <c r="B83" t="s">
        <v>18</v>
      </c>
      <c r="C83">
        <v>-0.04</v>
      </c>
      <c r="D83" s="2">
        <v>94</v>
      </c>
      <c r="E83" t="s">
        <v>160</v>
      </c>
      <c r="F83" t="s">
        <v>56</v>
      </c>
      <c r="G83" t="s">
        <v>166</v>
      </c>
      <c r="H83">
        <v>0</v>
      </c>
      <c r="I83" s="13">
        <v>0</v>
      </c>
      <c r="J83" s="2">
        <v>6</v>
      </c>
      <c r="K83">
        <v>6</v>
      </c>
      <c r="L83" s="2">
        <f t="shared" si="8"/>
        <v>0</v>
      </c>
      <c r="M83">
        <v>9</v>
      </c>
      <c r="N83">
        <v>9</v>
      </c>
      <c r="O83">
        <f t="shared" si="9"/>
        <v>0</v>
      </c>
      <c r="P83">
        <v>2</v>
      </c>
      <c r="Q83">
        <v>2</v>
      </c>
      <c r="R83">
        <f t="shared" si="10"/>
        <v>0</v>
      </c>
      <c r="S83">
        <v>3</v>
      </c>
      <c r="T83">
        <v>1</v>
      </c>
      <c r="U83">
        <f t="shared" si="11"/>
        <v>-2</v>
      </c>
      <c r="V83">
        <v>0</v>
      </c>
      <c r="W83">
        <v>1</v>
      </c>
      <c r="X83">
        <f t="shared" si="12"/>
        <v>1</v>
      </c>
      <c r="Y83" s="2">
        <v>0</v>
      </c>
      <c r="Z83" s="2">
        <v>0</v>
      </c>
      <c r="AA83" s="2">
        <v>0</v>
      </c>
      <c r="AB83">
        <f t="shared" si="7"/>
        <v>0</v>
      </c>
      <c r="AC83" s="2">
        <v>0</v>
      </c>
      <c r="AD83" s="2">
        <v>1</v>
      </c>
      <c r="AE83" s="2">
        <v>0</v>
      </c>
      <c r="AF83" s="2">
        <v>1</v>
      </c>
      <c r="AG83" s="2">
        <v>0</v>
      </c>
      <c r="AH83" s="2">
        <v>0</v>
      </c>
      <c r="AI83" s="2">
        <v>1</v>
      </c>
      <c r="AJ83" s="2">
        <v>0</v>
      </c>
      <c r="AK83">
        <f t="shared" si="13"/>
        <v>0</v>
      </c>
      <c r="AL83" t="s">
        <v>9</v>
      </c>
    </row>
    <row r="84" spans="1:38" x14ac:dyDescent="0.35">
      <c r="A84">
        <v>96</v>
      </c>
      <c r="B84" t="s">
        <v>18</v>
      </c>
      <c r="C84">
        <v>-0.04</v>
      </c>
      <c r="D84" s="2">
        <v>135</v>
      </c>
      <c r="E84" t="s">
        <v>160</v>
      </c>
      <c r="F84" t="s">
        <v>55</v>
      </c>
      <c r="G84" t="s">
        <v>166</v>
      </c>
      <c r="H84">
        <v>0</v>
      </c>
      <c r="I84" s="13">
        <v>0.25</v>
      </c>
      <c r="J84" s="2">
        <v>3</v>
      </c>
      <c r="K84">
        <v>3</v>
      </c>
      <c r="L84" s="2">
        <f t="shared" si="8"/>
        <v>0</v>
      </c>
      <c r="M84">
        <v>9</v>
      </c>
      <c r="N84">
        <v>9</v>
      </c>
      <c r="O84">
        <f t="shared" si="9"/>
        <v>0</v>
      </c>
      <c r="P84">
        <v>3</v>
      </c>
      <c r="Q84">
        <v>3</v>
      </c>
      <c r="R84">
        <f t="shared" si="10"/>
        <v>0</v>
      </c>
      <c r="S84">
        <v>2</v>
      </c>
      <c r="T84">
        <v>1</v>
      </c>
      <c r="U84">
        <f t="shared" si="11"/>
        <v>-1</v>
      </c>
      <c r="V84">
        <v>1</v>
      </c>
      <c r="W84">
        <v>0</v>
      </c>
      <c r="X84">
        <f t="shared" si="12"/>
        <v>-1</v>
      </c>
      <c r="Y84" s="2">
        <v>0</v>
      </c>
      <c r="Z84" s="2">
        <v>1</v>
      </c>
      <c r="AA84" s="2">
        <v>1</v>
      </c>
      <c r="AB84">
        <f t="shared" si="7"/>
        <v>1</v>
      </c>
      <c r="AC84" s="2">
        <v>0</v>
      </c>
      <c r="AD84" s="2">
        <v>1</v>
      </c>
      <c r="AE84" s="2">
        <v>0</v>
      </c>
      <c r="AF84" s="2">
        <v>1</v>
      </c>
      <c r="AG84" s="2">
        <v>0</v>
      </c>
      <c r="AH84" s="2">
        <v>1</v>
      </c>
      <c r="AI84" s="2">
        <v>0</v>
      </c>
      <c r="AJ84" s="2">
        <v>0</v>
      </c>
      <c r="AK84">
        <f t="shared" si="13"/>
        <v>0</v>
      </c>
      <c r="AL84" t="s">
        <v>136</v>
      </c>
    </row>
    <row r="85" spans="1:38" x14ac:dyDescent="0.35">
      <c r="A85">
        <v>97</v>
      </c>
      <c r="B85" t="s">
        <v>14</v>
      </c>
      <c r="C85">
        <v>1.42</v>
      </c>
      <c r="D85" s="2">
        <v>4</v>
      </c>
      <c r="E85" t="s">
        <v>160</v>
      </c>
      <c r="F85" t="s">
        <v>55</v>
      </c>
      <c r="G85" t="s">
        <v>166</v>
      </c>
      <c r="H85">
        <v>0</v>
      </c>
      <c r="I85" s="13">
        <v>1</v>
      </c>
      <c r="J85" s="2">
        <v>6</v>
      </c>
      <c r="K85">
        <v>6</v>
      </c>
      <c r="L85" s="2">
        <f t="shared" si="8"/>
        <v>0</v>
      </c>
      <c r="M85">
        <v>8</v>
      </c>
      <c r="N85">
        <v>4</v>
      </c>
      <c r="O85">
        <f t="shared" si="9"/>
        <v>-4</v>
      </c>
      <c r="P85">
        <v>1</v>
      </c>
      <c r="Q85">
        <v>2</v>
      </c>
      <c r="R85">
        <f t="shared" si="10"/>
        <v>1</v>
      </c>
      <c r="S85">
        <v>1</v>
      </c>
      <c r="T85">
        <v>1</v>
      </c>
      <c r="U85">
        <f t="shared" si="11"/>
        <v>0</v>
      </c>
      <c r="V85">
        <v>0</v>
      </c>
      <c r="W85">
        <v>1</v>
      </c>
      <c r="X85">
        <f t="shared" si="12"/>
        <v>1</v>
      </c>
      <c r="Y85" s="2">
        <v>0</v>
      </c>
      <c r="Z85" s="2">
        <v>1</v>
      </c>
      <c r="AA85" s="2">
        <v>1</v>
      </c>
      <c r="AB85">
        <f t="shared" si="7"/>
        <v>1</v>
      </c>
      <c r="AC85" s="2">
        <v>0</v>
      </c>
      <c r="AD85" s="2">
        <v>1</v>
      </c>
      <c r="AE85" s="2">
        <v>0</v>
      </c>
      <c r="AF85" s="2">
        <v>1</v>
      </c>
      <c r="AG85" s="2">
        <v>0</v>
      </c>
      <c r="AH85" s="2">
        <v>0</v>
      </c>
      <c r="AI85" s="2">
        <v>0</v>
      </c>
      <c r="AJ85" s="2">
        <v>0</v>
      </c>
      <c r="AK85">
        <f t="shared" si="13"/>
        <v>0</v>
      </c>
      <c r="AL85" t="s">
        <v>136</v>
      </c>
    </row>
    <row r="86" spans="1:38" x14ac:dyDescent="0.35">
      <c r="A86">
        <v>99</v>
      </c>
      <c r="B86" t="s">
        <v>18</v>
      </c>
      <c r="C86">
        <v>-0.04</v>
      </c>
      <c r="D86" s="5">
        <v>99</v>
      </c>
      <c r="E86" t="s">
        <v>61</v>
      </c>
      <c r="F86" t="s">
        <v>55</v>
      </c>
      <c r="G86" t="s">
        <v>167</v>
      </c>
      <c r="H86">
        <v>0</v>
      </c>
      <c r="I86" s="13">
        <v>1</v>
      </c>
      <c r="J86" s="2">
        <v>1</v>
      </c>
      <c r="K86">
        <v>1</v>
      </c>
      <c r="L86" s="2">
        <f t="shared" si="8"/>
        <v>0</v>
      </c>
      <c r="M86">
        <v>6</v>
      </c>
      <c r="N86">
        <v>6</v>
      </c>
      <c r="O86">
        <f t="shared" si="9"/>
        <v>0</v>
      </c>
      <c r="P86">
        <v>2</v>
      </c>
      <c r="Q86">
        <v>2</v>
      </c>
      <c r="R86">
        <f t="shared" si="10"/>
        <v>0</v>
      </c>
      <c r="S86">
        <v>2</v>
      </c>
      <c r="T86">
        <v>1</v>
      </c>
      <c r="U86">
        <f t="shared" si="11"/>
        <v>-1</v>
      </c>
      <c r="V86">
        <v>0</v>
      </c>
      <c r="W86">
        <v>0</v>
      </c>
      <c r="X86">
        <f t="shared" si="12"/>
        <v>0</v>
      </c>
      <c r="Y86" s="2">
        <v>0</v>
      </c>
      <c r="Z86" s="2">
        <v>0</v>
      </c>
      <c r="AA86" s="2">
        <v>0</v>
      </c>
      <c r="AB86">
        <f t="shared" si="7"/>
        <v>0</v>
      </c>
      <c r="AC86" s="2">
        <v>0</v>
      </c>
      <c r="AD86" s="2">
        <v>0</v>
      </c>
      <c r="AE86" s="2">
        <v>0</v>
      </c>
      <c r="AF86" s="2">
        <v>1</v>
      </c>
      <c r="AG86" s="2">
        <v>0</v>
      </c>
      <c r="AH86" s="2">
        <v>0</v>
      </c>
      <c r="AI86" s="2">
        <v>0</v>
      </c>
      <c r="AJ86" s="2">
        <v>0</v>
      </c>
      <c r="AK86">
        <f t="shared" si="13"/>
        <v>0</v>
      </c>
      <c r="AL86" s="9" t="s">
        <v>140</v>
      </c>
    </row>
    <row r="87" spans="1:38" x14ac:dyDescent="0.35">
      <c r="A87">
        <v>100</v>
      </c>
      <c r="B87" t="s">
        <v>18</v>
      </c>
      <c r="C87">
        <v>-0.04</v>
      </c>
      <c r="D87" s="2">
        <v>102</v>
      </c>
      <c r="E87" t="s">
        <v>62</v>
      </c>
      <c r="F87" t="s">
        <v>59</v>
      </c>
      <c r="G87" t="s">
        <v>166</v>
      </c>
      <c r="H87">
        <v>0</v>
      </c>
      <c r="I87" s="13">
        <v>0.5</v>
      </c>
      <c r="J87" s="2">
        <v>2</v>
      </c>
      <c r="K87">
        <v>2</v>
      </c>
      <c r="L87" s="2">
        <f t="shared" si="8"/>
        <v>0</v>
      </c>
      <c r="M87">
        <v>5</v>
      </c>
      <c r="N87">
        <v>5</v>
      </c>
      <c r="O87">
        <f t="shared" si="9"/>
        <v>0</v>
      </c>
      <c r="P87">
        <v>3</v>
      </c>
      <c r="Q87">
        <v>3</v>
      </c>
      <c r="R87">
        <f t="shared" si="10"/>
        <v>0</v>
      </c>
      <c r="S87">
        <v>1</v>
      </c>
      <c r="T87">
        <v>3</v>
      </c>
      <c r="U87">
        <f t="shared" si="11"/>
        <v>2</v>
      </c>
      <c r="V87">
        <v>2</v>
      </c>
      <c r="W87">
        <v>2</v>
      </c>
      <c r="X87">
        <f t="shared" si="12"/>
        <v>0</v>
      </c>
      <c r="Y87" s="2">
        <v>0</v>
      </c>
      <c r="Z87" s="2">
        <v>0</v>
      </c>
      <c r="AA87" s="2">
        <v>0</v>
      </c>
      <c r="AB87">
        <f t="shared" si="7"/>
        <v>0</v>
      </c>
      <c r="AC87" s="2">
        <v>0</v>
      </c>
      <c r="AD87" s="2">
        <v>1</v>
      </c>
      <c r="AE87" s="2">
        <v>0</v>
      </c>
      <c r="AF87" s="2">
        <v>1</v>
      </c>
      <c r="AG87" s="2">
        <v>0</v>
      </c>
      <c r="AH87" s="2">
        <v>1</v>
      </c>
      <c r="AI87" s="2">
        <v>1</v>
      </c>
      <c r="AJ87" s="2">
        <v>0</v>
      </c>
      <c r="AK87">
        <f t="shared" si="13"/>
        <v>0</v>
      </c>
      <c r="AL87" t="s">
        <v>47</v>
      </c>
    </row>
    <row r="88" spans="1:38" x14ac:dyDescent="0.35">
      <c r="A88">
        <v>101</v>
      </c>
      <c r="B88" t="s">
        <v>18</v>
      </c>
      <c r="C88">
        <v>-0.04</v>
      </c>
      <c r="D88" s="2">
        <v>57</v>
      </c>
      <c r="E88" t="s">
        <v>160</v>
      </c>
      <c r="F88" t="s">
        <v>55</v>
      </c>
      <c r="G88" t="s">
        <v>166</v>
      </c>
      <c r="H88">
        <v>0</v>
      </c>
      <c r="I88" s="13">
        <v>0</v>
      </c>
      <c r="J88" s="2">
        <v>2</v>
      </c>
      <c r="K88">
        <v>3</v>
      </c>
      <c r="L88" s="2">
        <f t="shared" si="8"/>
        <v>1</v>
      </c>
      <c r="M88">
        <v>7</v>
      </c>
      <c r="N88">
        <v>7</v>
      </c>
      <c r="O88">
        <f t="shared" si="9"/>
        <v>0</v>
      </c>
      <c r="P88">
        <v>1</v>
      </c>
      <c r="Q88">
        <v>1</v>
      </c>
      <c r="R88">
        <f t="shared" si="10"/>
        <v>0</v>
      </c>
      <c r="S88">
        <v>3</v>
      </c>
      <c r="T88">
        <v>2</v>
      </c>
      <c r="U88">
        <f t="shared" si="11"/>
        <v>-1</v>
      </c>
      <c r="V88">
        <v>1</v>
      </c>
      <c r="W88">
        <v>0</v>
      </c>
      <c r="X88">
        <f t="shared" si="12"/>
        <v>-1</v>
      </c>
      <c r="Y88" s="2">
        <v>0</v>
      </c>
      <c r="Z88" s="2">
        <v>0</v>
      </c>
      <c r="AA88" s="2">
        <v>0</v>
      </c>
      <c r="AB88">
        <f t="shared" si="7"/>
        <v>0</v>
      </c>
      <c r="AC88" s="2">
        <v>0</v>
      </c>
      <c r="AD88" s="2">
        <v>1</v>
      </c>
      <c r="AE88" s="2">
        <v>0</v>
      </c>
      <c r="AF88" s="2">
        <v>1</v>
      </c>
      <c r="AG88" s="2">
        <v>0</v>
      </c>
      <c r="AH88" s="2">
        <v>0</v>
      </c>
      <c r="AI88" s="2">
        <v>1</v>
      </c>
      <c r="AJ88" s="2">
        <v>0</v>
      </c>
      <c r="AK88">
        <f t="shared" si="13"/>
        <v>0</v>
      </c>
      <c r="AL88" t="s">
        <v>6</v>
      </c>
    </row>
    <row r="89" spans="1:38" x14ac:dyDescent="0.35">
      <c r="A89">
        <v>102</v>
      </c>
      <c r="B89" t="s">
        <v>18</v>
      </c>
      <c r="C89">
        <v>-0.04</v>
      </c>
      <c r="D89" s="2">
        <v>135</v>
      </c>
      <c r="E89" t="s">
        <v>160</v>
      </c>
      <c r="F89" t="s">
        <v>55</v>
      </c>
      <c r="G89" t="s">
        <v>166</v>
      </c>
      <c r="H89">
        <v>0</v>
      </c>
      <c r="I89" s="13">
        <v>0.25</v>
      </c>
      <c r="J89" s="2">
        <v>1</v>
      </c>
      <c r="K89">
        <v>1</v>
      </c>
      <c r="L89" s="2">
        <f t="shared" si="8"/>
        <v>0</v>
      </c>
      <c r="M89">
        <v>7</v>
      </c>
      <c r="N89">
        <v>6</v>
      </c>
      <c r="O89">
        <f t="shared" si="9"/>
        <v>-1</v>
      </c>
      <c r="P89">
        <v>2</v>
      </c>
      <c r="Q89">
        <v>2</v>
      </c>
      <c r="R89">
        <f t="shared" si="10"/>
        <v>0</v>
      </c>
      <c r="S89">
        <v>3</v>
      </c>
      <c r="T89">
        <v>1</v>
      </c>
      <c r="U89">
        <f t="shared" si="11"/>
        <v>-2</v>
      </c>
      <c r="V89">
        <v>1</v>
      </c>
      <c r="W89">
        <v>1</v>
      </c>
      <c r="X89">
        <f t="shared" si="12"/>
        <v>0</v>
      </c>
      <c r="Y89" s="2">
        <v>0</v>
      </c>
      <c r="Z89" s="2">
        <v>0</v>
      </c>
      <c r="AA89" s="2">
        <v>0</v>
      </c>
      <c r="AB89">
        <f t="shared" si="7"/>
        <v>0</v>
      </c>
      <c r="AC89" s="2">
        <v>0</v>
      </c>
      <c r="AD89" s="2">
        <v>1</v>
      </c>
      <c r="AE89" s="2">
        <v>0</v>
      </c>
      <c r="AF89" s="2">
        <v>0</v>
      </c>
      <c r="AG89" s="2">
        <v>0</v>
      </c>
      <c r="AH89" s="2">
        <v>0</v>
      </c>
      <c r="AI89" s="2">
        <v>0</v>
      </c>
      <c r="AJ89" s="2">
        <v>0</v>
      </c>
      <c r="AK89">
        <f t="shared" si="13"/>
        <v>0</v>
      </c>
      <c r="AL89" t="s">
        <v>6</v>
      </c>
    </row>
    <row r="90" spans="1:38" x14ac:dyDescent="0.35">
      <c r="A90">
        <v>103</v>
      </c>
      <c r="B90" t="s">
        <v>18</v>
      </c>
      <c r="C90">
        <v>-0.04</v>
      </c>
      <c r="D90" s="2">
        <v>98</v>
      </c>
      <c r="E90" t="s">
        <v>160</v>
      </c>
      <c r="F90" t="s">
        <v>53</v>
      </c>
      <c r="G90" t="s">
        <v>166</v>
      </c>
      <c r="H90">
        <v>0</v>
      </c>
      <c r="I90" s="13">
        <v>0</v>
      </c>
      <c r="J90" s="2">
        <v>1</v>
      </c>
      <c r="K90">
        <v>1</v>
      </c>
      <c r="L90" s="2">
        <f t="shared" si="8"/>
        <v>0</v>
      </c>
      <c r="P90">
        <v>2</v>
      </c>
      <c r="Q90">
        <v>2</v>
      </c>
      <c r="R90">
        <f t="shared" si="10"/>
        <v>0</v>
      </c>
      <c r="S90">
        <v>2</v>
      </c>
      <c r="T90">
        <v>2</v>
      </c>
      <c r="U90">
        <f t="shared" si="11"/>
        <v>0</v>
      </c>
      <c r="V90">
        <v>1</v>
      </c>
      <c r="W90">
        <v>1</v>
      </c>
      <c r="X90">
        <f t="shared" si="12"/>
        <v>0</v>
      </c>
      <c r="Y90" s="2">
        <v>0</v>
      </c>
      <c r="Z90" s="2">
        <v>0</v>
      </c>
      <c r="AA90" s="2">
        <v>0</v>
      </c>
      <c r="AB90">
        <f t="shared" si="7"/>
        <v>0</v>
      </c>
      <c r="AC90" s="2">
        <v>0</v>
      </c>
      <c r="AD90" s="2">
        <v>1</v>
      </c>
      <c r="AE90" s="2">
        <v>0</v>
      </c>
      <c r="AF90" s="2">
        <v>0</v>
      </c>
      <c r="AG90" s="2">
        <v>0</v>
      </c>
      <c r="AH90" s="2">
        <v>0</v>
      </c>
      <c r="AI90" s="2">
        <v>1</v>
      </c>
      <c r="AJ90" s="2">
        <v>0</v>
      </c>
      <c r="AK90">
        <f t="shared" si="13"/>
        <v>0</v>
      </c>
      <c r="AL90" t="s">
        <v>140</v>
      </c>
    </row>
    <row r="91" spans="1:38" x14ac:dyDescent="0.35">
      <c r="A91">
        <v>104</v>
      </c>
      <c r="B91" t="s">
        <v>16</v>
      </c>
      <c r="C91">
        <v>1.61</v>
      </c>
      <c r="D91" s="2">
        <v>7</v>
      </c>
      <c r="E91" t="s">
        <v>52</v>
      </c>
      <c r="F91" t="s">
        <v>56</v>
      </c>
      <c r="G91" t="s">
        <v>166</v>
      </c>
      <c r="H91">
        <v>0</v>
      </c>
      <c r="I91" s="13">
        <v>0</v>
      </c>
      <c r="J91" s="2">
        <v>3</v>
      </c>
      <c r="K91">
        <v>3</v>
      </c>
      <c r="L91" s="2">
        <f t="shared" si="8"/>
        <v>0</v>
      </c>
      <c r="M91">
        <v>6</v>
      </c>
      <c r="N91">
        <v>6</v>
      </c>
      <c r="O91">
        <f t="shared" si="9"/>
        <v>0</v>
      </c>
      <c r="P91">
        <v>2</v>
      </c>
      <c r="Q91">
        <v>2</v>
      </c>
      <c r="R91">
        <f t="shared" si="10"/>
        <v>0</v>
      </c>
      <c r="S91">
        <v>2</v>
      </c>
      <c r="T91">
        <v>2</v>
      </c>
      <c r="U91">
        <f t="shared" si="11"/>
        <v>0</v>
      </c>
      <c r="V91">
        <v>1</v>
      </c>
      <c r="W91">
        <v>1</v>
      </c>
      <c r="X91">
        <f t="shared" si="12"/>
        <v>0</v>
      </c>
      <c r="Y91" s="2">
        <v>0</v>
      </c>
      <c r="Z91" s="2">
        <v>0</v>
      </c>
      <c r="AA91" s="2">
        <v>0</v>
      </c>
      <c r="AB91">
        <f t="shared" si="7"/>
        <v>0</v>
      </c>
      <c r="AC91" s="2">
        <v>0</v>
      </c>
      <c r="AD91" s="2">
        <v>1</v>
      </c>
      <c r="AE91" s="2">
        <v>0</v>
      </c>
      <c r="AF91" s="2">
        <v>1</v>
      </c>
      <c r="AG91" s="2">
        <v>0</v>
      </c>
      <c r="AH91" s="2">
        <v>0</v>
      </c>
      <c r="AI91" s="2">
        <v>1</v>
      </c>
      <c r="AJ91" s="2">
        <v>0</v>
      </c>
      <c r="AK91">
        <f t="shared" si="13"/>
        <v>0</v>
      </c>
      <c r="AL91" t="s">
        <v>6</v>
      </c>
    </row>
    <row r="92" spans="1:38" x14ac:dyDescent="0.35">
      <c r="A92">
        <v>105</v>
      </c>
      <c r="B92" t="s">
        <v>165</v>
      </c>
      <c r="C92">
        <v>1.47</v>
      </c>
      <c r="D92" s="5">
        <v>26</v>
      </c>
      <c r="E92" t="s">
        <v>162</v>
      </c>
      <c r="F92" t="s">
        <v>59</v>
      </c>
      <c r="G92" t="s">
        <v>166</v>
      </c>
      <c r="H92">
        <v>0</v>
      </c>
      <c r="I92" s="13">
        <v>0</v>
      </c>
      <c r="J92" s="2">
        <v>4</v>
      </c>
      <c r="K92">
        <v>4</v>
      </c>
      <c r="L92" s="2">
        <f t="shared" si="8"/>
        <v>0</v>
      </c>
      <c r="M92">
        <v>3</v>
      </c>
      <c r="N92">
        <v>3</v>
      </c>
      <c r="O92">
        <f t="shared" si="9"/>
        <v>0</v>
      </c>
      <c r="P92">
        <v>1</v>
      </c>
      <c r="Q92">
        <v>1</v>
      </c>
      <c r="R92">
        <f t="shared" si="10"/>
        <v>0</v>
      </c>
      <c r="S92">
        <v>1</v>
      </c>
      <c r="T92">
        <v>1</v>
      </c>
      <c r="U92">
        <f t="shared" si="11"/>
        <v>0</v>
      </c>
      <c r="V92">
        <v>0</v>
      </c>
      <c r="W92">
        <v>0</v>
      </c>
      <c r="X92">
        <f t="shared" si="12"/>
        <v>0</v>
      </c>
      <c r="Y92" s="2">
        <v>0</v>
      </c>
      <c r="Z92" s="2">
        <v>0</v>
      </c>
      <c r="AA92" s="2">
        <v>0</v>
      </c>
      <c r="AB92">
        <f t="shared" si="7"/>
        <v>0</v>
      </c>
      <c r="AC92" s="2">
        <v>1</v>
      </c>
      <c r="AD92" s="2">
        <v>0</v>
      </c>
      <c r="AE92" s="2">
        <v>0</v>
      </c>
      <c r="AF92" s="2">
        <v>1</v>
      </c>
      <c r="AG92" s="2">
        <v>0</v>
      </c>
      <c r="AH92" s="2">
        <v>0</v>
      </c>
      <c r="AI92" s="2">
        <v>0</v>
      </c>
      <c r="AJ92" s="2">
        <v>0</v>
      </c>
      <c r="AK92">
        <f t="shared" si="13"/>
        <v>0</v>
      </c>
      <c r="AL92" s="9" t="s">
        <v>39</v>
      </c>
    </row>
    <row r="93" spans="1:38" x14ac:dyDescent="0.35">
      <c r="A93">
        <v>106</v>
      </c>
      <c r="B93" t="s">
        <v>16</v>
      </c>
      <c r="C93">
        <v>1.61</v>
      </c>
      <c r="D93" s="2">
        <v>3</v>
      </c>
      <c r="E93" t="s">
        <v>52</v>
      </c>
      <c r="F93" t="s">
        <v>53</v>
      </c>
      <c r="G93" t="s">
        <v>166</v>
      </c>
      <c r="H93">
        <v>0</v>
      </c>
      <c r="I93" s="13">
        <v>0</v>
      </c>
      <c r="J93" s="2">
        <v>4</v>
      </c>
      <c r="K93">
        <v>4</v>
      </c>
      <c r="L93" s="2">
        <f t="shared" si="8"/>
        <v>0</v>
      </c>
      <c r="M93">
        <v>8</v>
      </c>
      <c r="N93">
        <v>8</v>
      </c>
      <c r="O93">
        <f t="shared" si="9"/>
        <v>0</v>
      </c>
      <c r="P93">
        <v>3</v>
      </c>
      <c r="Q93">
        <v>3</v>
      </c>
      <c r="R93">
        <f t="shared" si="10"/>
        <v>0</v>
      </c>
      <c r="S93">
        <v>2</v>
      </c>
      <c r="T93">
        <v>2</v>
      </c>
      <c r="U93">
        <f t="shared" si="11"/>
        <v>0</v>
      </c>
      <c r="V93">
        <v>2</v>
      </c>
      <c r="W93">
        <v>1</v>
      </c>
      <c r="X93">
        <f t="shared" si="12"/>
        <v>-1</v>
      </c>
      <c r="Y93" s="2">
        <v>0</v>
      </c>
      <c r="Z93" s="2">
        <v>0</v>
      </c>
      <c r="AA93" s="2">
        <v>0</v>
      </c>
      <c r="AB93">
        <f t="shared" si="7"/>
        <v>0</v>
      </c>
      <c r="AC93" s="2">
        <v>0</v>
      </c>
      <c r="AD93" s="2">
        <v>1</v>
      </c>
      <c r="AE93" s="2">
        <v>0</v>
      </c>
      <c r="AF93" s="2">
        <v>0</v>
      </c>
      <c r="AG93" s="2">
        <v>0</v>
      </c>
      <c r="AH93" s="2">
        <v>0</v>
      </c>
      <c r="AI93" s="2">
        <v>0</v>
      </c>
      <c r="AJ93" s="2">
        <v>0</v>
      </c>
      <c r="AK93">
        <f t="shared" si="13"/>
        <v>0</v>
      </c>
      <c r="AL93" t="s">
        <v>140</v>
      </c>
    </row>
    <row r="94" spans="1:38" x14ac:dyDescent="0.35">
      <c r="A94">
        <v>107</v>
      </c>
      <c r="B94" t="s">
        <v>18</v>
      </c>
      <c r="C94">
        <v>-0.04</v>
      </c>
      <c r="D94" s="2">
        <v>60</v>
      </c>
      <c r="E94" t="s">
        <v>160</v>
      </c>
      <c r="F94" t="s">
        <v>55</v>
      </c>
      <c r="G94" t="s">
        <v>166</v>
      </c>
      <c r="H94">
        <v>0</v>
      </c>
      <c r="I94" s="13">
        <v>0.75</v>
      </c>
      <c r="J94" s="2">
        <v>9</v>
      </c>
      <c r="K94">
        <v>9</v>
      </c>
      <c r="L94" s="2">
        <f t="shared" si="8"/>
        <v>0</v>
      </c>
      <c r="M94">
        <v>7</v>
      </c>
      <c r="N94">
        <v>5</v>
      </c>
      <c r="O94">
        <f t="shared" si="9"/>
        <v>-2</v>
      </c>
      <c r="P94">
        <v>3</v>
      </c>
      <c r="Q94">
        <v>3</v>
      </c>
      <c r="R94">
        <f t="shared" si="10"/>
        <v>0</v>
      </c>
      <c r="S94">
        <v>4</v>
      </c>
      <c r="T94">
        <v>3</v>
      </c>
      <c r="U94">
        <f t="shared" si="11"/>
        <v>-1</v>
      </c>
      <c r="V94">
        <v>1</v>
      </c>
      <c r="W94">
        <v>1</v>
      </c>
      <c r="X94">
        <f t="shared" si="12"/>
        <v>0</v>
      </c>
      <c r="Y94" s="2">
        <v>0</v>
      </c>
      <c r="Z94" s="2">
        <v>0</v>
      </c>
      <c r="AA94" s="2">
        <v>0</v>
      </c>
      <c r="AB94">
        <f t="shared" si="7"/>
        <v>0</v>
      </c>
      <c r="AC94" s="2">
        <v>0</v>
      </c>
      <c r="AD94" s="2">
        <v>1</v>
      </c>
      <c r="AE94" s="2">
        <v>0</v>
      </c>
      <c r="AF94" s="2">
        <v>1</v>
      </c>
      <c r="AG94" s="2">
        <v>0</v>
      </c>
      <c r="AH94" s="2">
        <v>1</v>
      </c>
      <c r="AI94" s="2">
        <v>0</v>
      </c>
      <c r="AJ94" s="2">
        <v>1</v>
      </c>
      <c r="AK94">
        <f t="shared" si="13"/>
        <v>0</v>
      </c>
      <c r="AL94" t="s">
        <v>6</v>
      </c>
    </row>
    <row r="95" spans="1:38" x14ac:dyDescent="0.35">
      <c r="A95">
        <v>108</v>
      </c>
      <c r="B95" t="s">
        <v>16</v>
      </c>
      <c r="C95">
        <v>1.61</v>
      </c>
      <c r="D95" s="2">
        <v>8</v>
      </c>
      <c r="E95" t="s">
        <v>52</v>
      </c>
      <c r="F95" t="s">
        <v>53</v>
      </c>
      <c r="G95" t="s">
        <v>166</v>
      </c>
      <c r="H95">
        <v>1</v>
      </c>
      <c r="I95" s="13">
        <v>0.75</v>
      </c>
      <c r="J95" s="2">
        <v>13</v>
      </c>
      <c r="K95">
        <v>1</v>
      </c>
      <c r="L95" s="2">
        <f t="shared" si="8"/>
        <v>-12</v>
      </c>
      <c r="M95">
        <v>8</v>
      </c>
      <c r="N95">
        <v>1</v>
      </c>
      <c r="O95">
        <f t="shared" si="9"/>
        <v>-7</v>
      </c>
      <c r="P95">
        <v>1</v>
      </c>
      <c r="Q95">
        <v>1</v>
      </c>
      <c r="R95">
        <f t="shared" si="10"/>
        <v>0</v>
      </c>
      <c r="S95">
        <v>1</v>
      </c>
      <c r="T95">
        <v>1</v>
      </c>
      <c r="U95">
        <f t="shared" si="11"/>
        <v>0</v>
      </c>
      <c r="V95">
        <v>0</v>
      </c>
      <c r="W95">
        <v>1</v>
      </c>
      <c r="X95">
        <f t="shared" si="12"/>
        <v>1</v>
      </c>
      <c r="Y95" s="2">
        <v>0</v>
      </c>
      <c r="Z95" s="2">
        <v>1</v>
      </c>
      <c r="AA95" s="2">
        <v>1</v>
      </c>
      <c r="AB95">
        <f t="shared" si="7"/>
        <v>1</v>
      </c>
      <c r="AC95" s="2">
        <v>1</v>
      </c>
      <c r="AD95" s="2">
        <v>1</v>
      </c>
      <c r="AE95" s="2">
        <v>0</v>
      </c>
      <c r="AF95" s="2">
        <v>1</v>
      </c>
      <c r="AG95" s="2">
        <v>0</v>
      </c>
      <c r="AH95" s="2">
        <v>1</v>
      </c>
      <c r="AI95" s="2">
        <v>0</v>
      </c>
      <c r="AJ95" s="2">
        <v>0</v>
      </c>
      <c r="AK95">
        <f t="shared" si="13"/>
        <v>0</v>
      </c>
      <c r="AL95" t="s">
        <v>137</v>
      </c>
    </row>
    <row r="96" spans="1:38" x14ac:dyDescent="0.35">
      <c r="A96">
        <v>109</v>
      </c>
      <c r="B96" t="s">
        <v>18</v>
      </c>
      <c r="C96">
        <v>-0.04</v>
      </c>
      <c r="D96" s="2">
        <v>40</v>
      </c>
      <c r="E96" t="s">
        <v>160</v>
      </c>
      <c r="F96" t="s">
        <v>56</v>
      </c>
      <c r="G96" t="s">
        <v>166</v>
      </c>
      <c r="H96">
        <v>0</v>
      </c>
      <c r="I96" s="13">
        <v>1</v>
      </c>
      <c r="J96" s="2">
        <v>3</v>
      </c>
      <c r="K96">
        <v>3</v>
      </c>
      <c r="L96" s="2">
        <f t="shared" si="8"/>
        <v>0</v>
      </c>
      <c r="M96">
        <v>9</v>
      </c>
      <c r="N96">
        <v>8</v>
      </c>
      <c r="O96">
        <f t="shared" si="9"/>
        <v>-1</v>
      </c>
      <c r="P96">
        <v>3</v>
      </c>
      <c r="Q96">
        <v>3</v>
      </c>
      <c r="R96">
        <f t="shared" si="10"/>
        <v>0</v>
      </c>
      <c r="S96">
        <v>1</v>
      </c>
      <c r="T96">
        <v>1</v>
      </c>
      <c r="U96">
        <f t="shared" si="11"/>
        <v>0</v>
      </c>
      <c r="V96">
        <v>2</v>
      </c>
      <c r="W96">
        <v>2</v>
      </c>
      <c r="X96">
        <f t="shared" si="12"/>
        <v>0</v>
      </c>
      <c r="Y96" s="2">
        <v>0</v>
      </c>
      <c r="Z96" s="2">
        <v>0</v>
      </c>
      <c r="AA96" s="2">
        <v>0</v>
      </c>
      <c r="AB96">
        <f t="shared" si="7"/>
        <v>0</v>
      </c>
      <c r="AC96" s="2">
        <v>0</v>
      </c>
      <c r="AD96" s="2">
        <v>0</v>
      </c>
      <c r="AE96" s="2">
        <v>0</v>
      </c>
      <c r="AF96" s="2">
        <v>0</v>
      </c>
      <c r="AG96" s="2">
        <v>0</v>
      </c>
      <c r="AH96" s="2">
        <v>0</v>
      </c>
      <c r="AI96" s="2">
        <v>0</v>
      </c>
      <c r="AJ96" s="2">
        <v>0</v>
      </c>
      <c r="AK96">
        <f t="shared" si="13"/>
        <v>1</v>
      </c>
      <c r="AL96" t="s">
        <v>140</v>
      </c>
    </row>
    <row r="97" spans="1:38" x14ac:dyDescent="0.35">
      <c r="A97">
        <v>110</v>
      </c>
      <c r="B97" t="s">
        <v>14</v>
      </c>
      <c r="C97">
        <v>1.42</v>
      </c>
      <c r="D97" s="2">
        <v>15</v>
      </c>
      <c r="E97" t="s">
        <v>160</v>
      </c>
      <c r="F97" t="s">
        <v>56</v>
      </c>
      <c r="G97" t="s">
        <v>166</v>
      </c>
      <c r="H97">
        <v>0</v>
      </c>
      <c r="I97" s="13">
        <v>0</v>
      </c>
      <c r="J97" s="2">
        <v>3</v>
      </c>
      <c r="K97">
        <v>3</v>
      </c>
      <c r="L97" s="2">
        <f t="shared" si="8"/>
        <v>0</v>
      </c>
      <c r="M97">
        <v>9</v>
      </c>
      <c r="N97">
        <v>8</v>
      </c>
      <c r="O97">
        <f t="shared" si="9"/>
        <v>-1</v>
      </c>
      <c r="P97">
        <v>1</v>
      </c>
      <c r="Q97">
        <v>1</v>
      </c>
      <c r="R97">
        <f t="shared" si="10"/>
        <v>0</v>
      </c>
      <c r="S97">
        <v>4</v>
      </c>
      <c r="T97">
        <v>1</v>
      </c>
      <c r="U97">
        <f t="shared" si="11"/>
        <v>-3</v>
      </c>
      <c r="V97">
        <v>1</v>
      </c>
      <c r="W97">
        <v>2</v>
      </c>
      <c r="X97">
        <f t="shared" si="12"/>
        <v>1</v>
      </c>
      <c r="Y97" s="2">
        <v>0</v>
      </c>
      <c r="Z97" s="2">
        <v>0</v>
      </c>
      <c r="AA97" s="2">
        <v>0</v>
      </c>
      <c r="AB97">
        <f t="shared" si="7"/>
        <v>0</v>
      </c>
      <c r="AC97" s="2">
        <v>0</v>
      </c>
      <c r="AD97" s="2">
        <v>0</v>
      </c>
      <c r="AE97" s="2">
        <v>0</v>
      </c>
      <c r="AF97" s="2">
        <v>1</v>
      </c>
      <c r="AG97" s="2">
        <v>0</v>
      </c>
      <c r="AH97" s="2">
        <v>0</v>
      </c>
      <c r="AI97" s="2">
        <v>0</v>
      </c>
      <c r="AJ97" s="2">
        <v>1</v>
      </c>
      <c r="AK97">
        <f t="shared" si="13"/>
        <v>0</v>
      </c>
      <c r="AL97" t="s">
        <v>140</v>
      </c>
    </row>
    <row r="98" spans="1:38" x14ac:dyDescent="0.35">
      <c r="A98">
        <v>111</v>
      </c>
      <c r="B98" t="s">
        <v>14</v>
      </c>
      <c r="C98">
        <v>1.42</v>
      </c>
      <c r="D98" s="2">
        <v>27</v>
      </c>
      <c r="E98" t="s">
        <v>160</v>
      </c>
      <c r="F98" t="s">
        <v>55</v>
      </c>
      <c r="G98" t="s">
        <v>166</v>
      </c>
      <c r="H98">
        <v>0</v>
      </c>
      <c r="I98" s="13">
        <v>1</v>
      </c>
      <c r="J98" s="5">
        <v>11</v>
      </c>
      <c r="K98" s="9">
        <v>11</v>
      </c>
      <c r="L98" s="2">
        <f t="shared" si="8"/>
        <v>0</v>
      </c>
      <c r="M98">
        <v>5</v>
      </c>
      <c r="N98">
        <v>5</v>
      </c>
      <c r="O98">
        <f t="shared" si="9"/>
        <v>0</v>
      </c>
      <c r="P98">
        <v>1</v>
      </c>
      <c r="Q98">
        <v>1</v>
      </c>
      <c r="R98">
        <f t="shared" si="10"/>
        <v>0</v>
      </c>
      <c r="S98">
        <v>2</v>
      </c>
      <c r="T98">
        <v>3</v>
      </c>
      <c r="U98">
        <f t="shared" si="11"/>
        <v>1</v>
      </c>
      <c r="V98">
        <v>2</v>
      </c>
      <c r="W98">
        <v>2</v>
      </c>
      <c r="X98">
        <f t="shared" si="12"/>
        <v>0</v>
      </c>
      <c r="Y98" s="2">
        <v>0</v>
      </c>
      <c r="Z98" s="2">
        <v>1</v>
      </c>
      <c r="AA98" s="2">
        <v>1</v>
      </c>
      <c r="AB98">
        <f t="shared" si="7"/>
        <v>1</v>
      </c>
      <c r="AC98" s="2">
        <v>0</v>
      </c>
      <c r="AD98" s="2">
        <v>0</v>
      </c>
      <c r="AE98" s="2">
        <v>0</v>
      </c>
      <c r="AF98" s="2">
        <v>1</v>
      </c>
      <c r="AG98" s="2">
        <v>0</v>
      </c>
      <c r="AH98" s="2">
        <v>0</v>
      </c>
      <c r="AI98" s="2">
        <v>0</v>
      </c>
      <c r="AJ98" s="2">
        <v>0</v>
      </c>
      <c r="AK98">
        <f t="shared" si="13"/>
        <v>0</v>
      </c>
      <c r="AL98" t="s">
        <v>137</v>
      </c>
    </row>
    <row r="99" spans="1:38" x14ac:dyDescent="0.35">
      <c r="A99">
        <v>112</v>
      </c>
      <c r="B99" t="s">
        <v>16</v>
      </c>
      <c r="C99">
        <v>1.61</v>
      </c>
      <c r="D99" s="2">
        <v>118</v>
      </c>
      <c r="E99" t="s">
        <v>52</v>
      </c>
      <c r="F99" t="s">
        <v>55</v>
      </c>
      <c r="G99" t="s">
        <v>167</v>
      </c>
      <c r="H99">
        <v>0</v>
      </c>
      <c r="I99" s="13">
        <v>0</v>
      </c>
      <c r="J99" s="2">
        <v>4</v>
      </c>
      <c r="K99">
        <v>4</v>
      </c>
      <c r="L99" s="2">
        <f t="shared" si="8"/>
        <v>0</v>
      </c>
      <c r="M99">
        <v>8</v>
      </c>
      <c r="N99">
        <v>8</v>
      </c>
      <c r="O99">
        <f t="shared" si="9"/>
        <v>0</v>
      </c>
      <c r="P99">
        <v>2</v>
      </c>
      <c r="Q99">
        <v>2</v>
      </c>
      <c r="R99">
        <f t="shared" si="10"/>
        <v>0</v>
      </c>
      <c r="S99">
        <v>1</v>
      </c>
      <c r="T99">
        <v>1</v>
      </c>
      <c r="U99">
        <f t="shared" si="11"/>
        <v>0</v>
      </c>
      <c r="V99">
        <v>2</v>
      </c>
      <c r="W99">
        <v>2</v>
      </c>
      <c r="X99">
        <f t="shared" si="12"/>
        <v>0</v>
      </c>
      <c r="Y99" s="2">
        <v>0</v>
      </c>
      <c r="Z99" s="2">
        <v>0</v>
      </c>
      <c r="AA99" s="2">
        <v>0</v>
      </c>
      <c r="AB99">
        <f t="shared" si="7"/>
        <v>0</v>
      </c>
      <c r="AC99" s="2">
        <v>0</v>
      </c>
      <c r="AD99" s="2">
        <v>0</v>
      </c>
      <c r="AE99" s="2">
        <v>0</v>
      </c>
      <c r="AF99" s="2">
        <v>1</v>
      </c>
      <c r="AG99" s="2">
        <v>0</v>
      </c>
      <c r="AH99" s="2">
        <v>0</v>
      </c>
      <c r="AI99" s="2">
        <v>1</v>
      </c>
      <c r="AJ99" s="2">
        <v>0</v>
      </c>
      <c r="AK99">
        <f t="shared" si="13"/>
        <v>0</v>
      </c>
      <c r="AL99" t="s">
        <v>9</v>
      </c>
    </row>
    <row r="100" spans="1:38" x14ac:dyDescent="0.35">
      <c r="A100">
        <v>113</v>
      </c>
      <c r="B100" t="s">
        <v>16</v>
      </c>
      <c r="C100">
        <v>1.61</v>
      </c>
      <c r="D100" s="2">
        <v>50</v>
      </c>
      <c r="E100" t="s">
        <v>52</v>
      </c>
      <c r="F100" t="s">
        <v>53</v>
      </c>
      <c r="G100" t="s">
        <v>167</v>
      </c>
      <c r="H100">
        <v>0</v>
      </c>
      <c r="I100" s="13">
        <v>0</v>
      </c>
      <c r="J100" s="2">
        <v>7</v>
      </c>
      <c r="K100">
        <v>8</v>
      </c>
      <c r="L100" s="2">
        <f t="shared" si="8"/>
        <v>1</v>
      </c>
      <c r="M100">
        <v>7</v>
      </c>
      <c r="N100">
        <v>7</v>
      </c>
      <c r="O100">
        <f t="shared" si="9"/>
        <v>0</v>
      </c>
      <c r="P100">
        <v>2</v>
      </c>
      <c r="Q100">
        <v>2</v>
      </c>
      <c r="R100">
        <f t="shared" si="10"/>
        <v>0</v>
      </c>
      <c r="S100">
        <v>1</v>
      </c>
      <c r="T100">
        <v>1</v>
      </c>
      <c r="U100">
        <f t="shared" si="11"/>
        <v>0</v>
      </c>
      <c r="V100">
        <v>0</v>
      </c>
      <c r="W100">
        <v>0</v>
      </c>
      <c r="X100">
        <f t="shared" si="12"/>
        <v>0</v>
      </c>
      <c r="Y100" s="2">
        <v>0</v>
      </c>
      <c r="Z100" s="2">
        <v>0</v>
      </c>
      <c r="AA100" s="2">
        <v>0</v>
      </c>
      <c r="AB100">
        <f t="shared" si="7"/>
        <v>0</v>
      </c>
      <c r="AC100" s="2">
        <v>0</v>
      </c>
      <c r="AD100" s="2">
        <v>1</v>
      </c>
      <c r="AE100" s="2">
        <v>0</v>
      </c>
      <c r="AF100" s="2">
        <v>1</v>
      </c>
      <c r="AG100" s="2">
        <v>0</v>
      </c>
      <c r="AH100" s="2">
        <v>0</v>
      </c>
      <c r="AI100" s="2">
        <v>1</v>
      </c>
      <c r="AJ100" s="2">
        <v>0</v>
      </c>
      <c r="AK100">
        <f t="shared" si="13"/>
        <v>0</v>
      </c>
      <c r="AL100" t="s">
        <v>9</v>
      </c>
    </row>
    <row r="101" spans="1:38" x14ac:dyDescent="0.35">
      <c r="A101">
        <v>114</v>
      </c>
      <c r="B101" t="s">
        <v>127</v>
      </c>
      <c r="C101" s="9">
        <v>1.81</v>
      </c>
      <c r="D101" s="5">
        <v>28</v>
      </c>
      <c r="E101" t="s">
        <v>160</v>
      </c>
      <c r="F101" t="s">
        <v>53</v>
      </c>
      <c r="G101" t="s">
        <v>166</v>
      </c>
      <c r="H101">
        <v>0</v>
      </c>
      <c r="I101" s="13">
        <v>0</v>
      </c>
      <c r="J101" s="2">
        <v>4</v>
      </c>
      <c r="K101">
        <v>4</v>
      </c>
      <c r="L101" s="2">
        <f t="shared" si="8"/>
        <v>0</v>
      </c>
      <c r="M101">
        <v>6</v>
      </c>
      <c r="N101">
        <v>6</v>
      </c>
      <c r="O101">
        <f t="shared" si="9"/>
        <v>0</v>
      </c>
      <c r="P101">
        <v>1</v>
      </c>
      <c r="Q101">
        <v>1</v>
      </c>
      <c r="R101">
        <f t="shared" si="10"/>
        <v>0</v>
      </c>
      <c r="S101">
        <v>3</v>
      </c>
      <c r="T101">
        <v>1</v>
      </c>
      <c r="U101">
        <f t="shared" si="11"/>
        <v>-2</v>
      </c>
      <c r="V101">
        <v>1</v>
      </c>
      <c r="W101">
        <v>1</v>
      </c>
      <c r="X101">
        <f t="shared" si="12"/>
        <v>0</v>
      </c>
      <c r="Y101" s="2">
        <v>0</v>
      </c>
      <c r="Z101" s="2">
        <v>0</v>
      </c>
      <c r="AA101" s="2">
        <v>0</v>
      </c>
      <c r="AB101">
        <f t="shared" si="7"/>
        <v>0</v>
      </c>
      <c r="AC101" s="2">
        <v>0</v>
      </c>
      <c r="AD101" s="2">
        <v>1</v>
      </c>
      <c r="AE101" s="2">
        <v>0</v>
      </c>
      <c r="AF101" s="2">
        <v>1</v>
      </c>
      <c r="AG101" s="2">
        <v>0</v>
      </c>
      <c r="AH101" s="2">
        <v>0</v>
      </c>
      <c r="AI101" s="2">
        <v>0</v>
      </c>
      <c r="AJ101" s="2">
        <v>1</v>
      </c>
      <c r="AK101">
        <f t="shared" si="13"/>
        <v>0</v>
      </c>
      <c r="AL101" s="9" t="s">
        <v>6</v>
      </c>
    </row>
    <row r="102" spans="1:38" x14ac:dyDescent="0.35">
      <c r="A102">
        <v>115</v>
      </c>
      <c r="B102" t="s">
        <v>127</v>
      </c>
      <c r="C102" s="9">
        <v>1.81</v>
      </c>
      <c r="D102" s="5">
        <v>25</v>
      </c>
      <c r="E102" t="s">
        <v>61</v>
      </c>
      <c r="F102" t="s">
        <v>53</v>
      </c>
      <c r="G102" t="s">
        <v>166</v>
      </c>
      <c r="H102">
        <v>0</v>
      </c>
      <c r="I102" s="13">
        <v>0.25</v>
      </c>
      <c r="J102" s="2">
        <v>2</v>
      </c>
      <c r="K102">
        <v>2</v>
      </c>
      <c r="L102" s="2">
        <f t="shared" si="8"/>
        <v>0</v>
      </c>
      <c r="M102">
        <v>7</v>
      </c>
      <c r="N102">
        <v>7</v>
      </c>
      <c r="O102">
        <f t="shared" si="9"/>
        <v>0</v>
      </c>
      <c r="P102">
        <v>3</v>
      </c>
      <c r="Q102">
        <v>3</v>
      </c>
      <c r="R102">
        <f t="shared" si="10"/>
        <v>0</v>
      </c>
      <c r="S102">
        <v>4</v>
      </c>
      <c r="T102">
        <v>4</v>
      </c>
      <c r="U102">
        <f t="shared" si="11"/>
        <v>0</v>
      </c>
      <c r="V102">
        <v>1</v>
      </c>
      <c r="W102">
        <v>1</v>
      </c>
      <c r="X102">
        <f t="shared" si="12"/>
        <v>0</v>
      </c>
      <c r="Y102" s="2">
        <v>0</v>
      </c>
      <c r="Z102" s="2">
        <v>0</v>
      </c>
      <c r="AA102" s="2">
        <v>0</v>
      </c>
      <c r="AB102">
        <f t="shared" si="7"/>
        <v>0</v>
      </c>
      <c r="AC102" s="2">
        <v>0</v>
      </c>
      <c r="AD102" s="2">
        <v>1</v>
      </c>
      <c r="AE102" s="2">
        <v>0</v>
      </c>
      <c r="AF102" s="2">
        <v>1</v>
      </c>
      <c r="AG102" s="2">
        <v>0</v>
      </c>
      <c r="AH102" s="2">
        <v>0</v>
      </c>
      <c r="AI102" s="2">
        <v>0</v>
      </c>
      <c r="AJ102" s="2">
        <v>1</v>
      </c>
      <c r="AK102">
        <f t="shared" si="13"/>
        <v>0</v>
      </c>
      <c r="AL102" s="9" t="s">
        <v>39</v>
      </c>
    </row>
    <row r="103" spans="1:38" x14ac:dyDescent="0.35">
      <c r="A103">
        <v>116</v>
      </c>
      <c r="B103" t="s">
        <v>127</v>
      </c>
      <c r="C103" s="9">
        <v>1.81</v>
      </c>
      <c r="D103" s="2">
        <v>21</v>
      </c>
      <c r="E103" t="s">
        <v>141</v>
      </c>
      <c r="F103" t="s">
        <v>53</v>
      </c>
      <c r="G103" t="s">
        <v>166</v>
      </c>
      <c r="H103">
        <v>0</v>
      </c>
      <c r="I103" s="13">
        <v>0</v>
      </c>
      <c r="J103" s="2">
        <v>4</v>
      </c>
      <c r="K103">
        <v>4</v>
      </c>
      <c r="L103" s="2">
        <f t="shared" si="8"/>
        <v>0</v>
      </c>
      <c r="M103">
        <v>6</v>
      </c>
      <c r="N103">
        <v>6</v>
      </c>
      <c r="O103">
        <f t="shared" si="9"/>
        <v>0</v>
      </c>
      <c r="P103">
        <v>2</v>
      </c>
      <c r="Q103">
        <v>2</v>
      </c>
      <c r="R103">
        <f t="shared" si="10"/>
        <v>0</v>
      </c>
      <c r="S103">
        <v>1</v>
      </c>
      <c r="T103">
        <v>1</v>
      </c>
      <c r="U103">
        <f t="shared" si="11"/>
        <v>0</v>
      </c>
      <c r="V103">
        <v>0</v>
      </c>
      <c r="W103">
        <v>0</v>
      </c>
      <c r="X103">
        <f t="shared" si="12"/>
        <v>0</v>
      </c>
      <c r="Y103" s="2">
        <v>0</v>
      </c>
      <c r="Z103" s="2">
        <v>0</v>
      </c>
      <c r="AA103" s="2">
        <v>0</v>
      </c>
      <c r="AB103">
        <f t="shared" si="7"/>
        <v>0</v>
      </c>
      <c r="AC103" s="2">
        <v>0</v>
      </c>
      <c r="AD103" s="2">
        <v>0</v>
      </c>
      <c r="AE103" s="2">
        <v>0</v>
      </c>
      <c r="AF103" s="2">
        <v>1</v>
      </c>
      <c r="AG103" s="2">
        <v>0</v>
      </c>
      <c r="AH103" s="2">
        <v>0</v>
      </c>
      <c r="AI103" s="2">
        <v>0</v>
      </c>
      <c r="AJ103" s="2">
        <v>1</v>
      </c>
      <c r="AK103">
        <f t="shared" si="13"/>
        <v>0</v>
      </c>
      <c r="AL103" t="s">
        <v>43</v>
      </c>
    </row>
    <row r="104" spans="1:38" x14ac:dyDescent="0.35">
      <c r="A104">
        <v>117</v>
      </c>
      <c r="B104" t="s">
        <v>16</v>
      </c>
      <c r="C104">
        <v>1.61</v>
      </c>
      <c r="D104" s="2">
        <v>2</v>
      </c>
      <c r="E104" t="s">
        <v>52</v>
      </c>
      <c r="F104" t="s">
        <v>53</v>
      </c>
      <c r="G104" t="s">
        <v>166</v>
      </c>
      <c r="H104">
        <v>0</v>
      </c>
      <c r="I104" s="13">
        <v>0</v>
      </c>
      <c r="J104" s="2">
        <v>5</v>
      </c>
      <c r="K104">
        <v>5</v>
      </c>
      <c r="L104" s="2">
        <f t="shared" si="8"/>
        <v>0</v>
      </c>
      <c r="M104">
        <v>9</v>
      </c>
      <c r="N104">
        <v>9</v>
      </c>
      <c r="O104">
        <f t="shared" si="9"/>
        <v>0</v>
      </c>
      <c r="P104">
        <v>3</v>
      </c>
      <c r="Q104">
        <v>3</v>
      </c>
      <c r="R104">
        <f t="shared" si="10"/>
        <v>0</v>
      </c>
      <c r="S104">
        <v>1</v>
      </c>
      <c r="T104">
        <v>1</v>
      </c>
      <c r="U104">
        <f t="shared" si="11"/>
        <v>0</v>
      </c>
      <c r="V104">
        <v>0</v>
      </c>
      <c r="W104">
        <v>0</v>
      </c>
      <c r="X104">
        <f t="shared" si="12"/>
        <v>0</v>
      </c>
      <c r="Y104" s="2">
        <v>0</v>
      </c>
      <c r="Z104" s="2">
        <v>0</v>
      </c>
      <c r="AA104" s="2">
        <v>0</v>
      </c>
      <c r="AB104">
        <f t="shared" si="7"/>
        <v>0</v>
      </c>
      <c r="AC104" s="2">
        <v>0</v>
      </c>
      <c r="AD104" s="2">
        <v>0</v>
      </c>
      <c r="AE104" s="2">
        <v>0</v>
      </c>
      <c r="AF104" s="2">
        <v>0</v>
      </c>
      <c r="AG104" s="2">
        <v>0</v>
      </c>
      <c r="AH104" s="2">
        <v>0</v>
      </c>
      <c r="AI104" s="2">
        <v>0</v>
      </c>
      <c r="AJ104" s="2">
        <v>1</v>
      </c>
      <c r="AK104">
        <f t="shared" si="13"/>
        <v>0</v>
      </c>
      <c r="AL104" t="s">
        <v>43</v>
      </c>
    </row>
    <row r="105" spans="1:38" x14ac:dyDescent="0.35">
      <c r="A105">
        <v>118</v>
      </c>
      <c r="B105" t="s">
        <v>164</v>
      </c>
      <c r="C105">
        <v>0.44</v>
      </c>
      <c r="D105" s="5">
        <v>12</v>
      </c>
      <c r="E105" t="s">
        <v>61</v>
      </c>
      <c r="F105" t="s">
        <v>55</v>
      </c>
      <c r="G105" t="s">
        <v>167</v>
      </c>
      <c r="H105">
        <v>0</v>
      </c>
      <c r="I105" s="13">
        <v>0.5</v>
      </c>
      <c r="J105" s="2">
        <v>2</v>
      </c>
      <c r="K105">
        <v>1</v>
      </c>
      <c r="L105" s="2">
        <f t="shared" si="8"/>
        <v>-1</v>
      </c>
      <c r="M105">
        <v>8</v>
      </c>
      <c r="N105">
        <v>8</v>
      </c>
      <c r="O105">
        <f t="shared" si="9"/>
        <v>0</v>
      </c>
      <c r="P105">
        <v>1</v>
      </c>
      <c r="Q105">
        <v>1</v>
      </c>
      <c r="R105">
        <f t="shared" si="10"/>
        <v>0</v>
      </c>
      <c r="S105">
        <v>2</v>
      </c>
      <c r="T105">
        <v>1</v>
      </c>
      <c r="U105">
        <f t="shared" si="11"/>
        <v>-1</v>
      </c>
      <c r="V105">
        <v>0</v>
      </c>
      <c r="W105">
        <v>1</v>
      </c>
      <c r="X105">
        <f t="shared" si="12"/>
        <v>1</v>
      </c>
      <c r="Y105" s="2">
        <v>0</v>
      </c>
      <c r="Z105" s="2">
        <v>0</v>
      </c>
      <c r="AA105" s="2">
        <v>0</v>
      </c>
      <c r="AB105">
        <f t="shared" si="7"/>
        <v>0</v>
      </c>
      <c r="AC105" s="2">
        <v>0</v>
      </c>
      <c r="AD105" s="2">
        <v>1</v>
      </c>
      <c r="AE105" s="2">
        <v>0</v>
      </c>
      <c r="AF105" s="2">
        <v>1</v>
      </c>
      <c r="AG105" s="2">
        <v>0</v>
      </c>
      <c r="AH105" s="2">
        <v>0</v>
      </c>
      <c r="AI105" s="2">
        <v>1</v>
      </c>
      <c r="AJ105" s="2">
        <v>0</v>
      </c>
      <c r="AK105">
        <f t="shared" si="13"/>
        <v>0</v>
      </c>
      <c r="AL105" s="9" t="s">
        <v>39</v>
      </c>
    </row>
    <row r="106" spans="1:38" x14ac:dyDescent="0.35">
      <c r="A106">
        <v>119</v>
      </c>
      <c r="B106" t="s">
        <v>127</v>
      </c>
      <c r="C106" s="9">
        <v>1.81</v>
      </c>
      <c r="D106" s="5">
        <v>22</v>
      </c>
      <c r="E106" t="s">
        <v>61</v>
      </c>
      <c r="F106" t="s">
        <v>53</v>
      </c>
      <c r="G106" s="10" t="s">
        <v>167</v>
      </c>
      <c r="H106">
        <v>0</v>
      </c>
      <c r="I106" s="13">
        <v>0.5</v>
      </c>
      <c r="J106" s="2">
        <v>4</v>
      </c>
      <c r="K106">
        <v>4</v>
      </c>
      <c r="L106" s="2">
        <f t="shared" si="8"/>
        <v>0</v>
      </c>
      <c r="M106">
        <v>5</v>
      </c>
      <c r="N106">
        <v>3</v>
      </c>
      <c r="O106">
        <f t="shared" si="9"/>
        <v>-2</v>
      </c>
      <c r="P106">
        <v>2</v>
      </c>
      <c r="Q106">
        <v>2</v>
      </c>
      <c r="R106">
        <f t="shared" si="10"/>
        <v>0</v>
      </c>
      <c r="S106">
        <v>4</v>
      </c>
      <c r="T106">
        <v>5</v>
      </c>
      <c r="U106">
        <f t="shared" si="11"/>
        <v>1</v>
      </c>
      <c r="V106">
        <v>2</v>
      </c>
      <c r="W106">
        <v>2</v>
      </c>
      <c r="X106">
        <f t="shared" si="12"/>
        <v>0</v>
      </c>
      <c r="Y106" s="2">
        <v>0</v>
      </c>
      <c r="Z106" s="2">
        <v>1</v>
      </c>
      <c r="AA106" s="2">
        <v>0</v>
      </c>
      <c r="AB106">
        <f t="shared" si="7"/>
        <v>1</v>
      </c>
      <c r="AC106" s="2">
        <v>0</v>
      </c>
      <c r="AD106" s="2">
        <v>1</v>
      </c>
      <c r="AE106" s="2">
        <v>0</v>
      </c>
      <c r="AF106" s="2">
        <v>1</v>
      </c>
      <c r="AG106" s="2">
        <v>0</v>
      </c>
      <c r="AH106" s="2">
        <v>0</v>
      </c>
      <c r="AI106" s="2">
        <v>0</v>
      </c>
      <c r="AJ106" s="2">
        <v>1</v>
      </c>
      <c r="AK106">
        <f t="shared" si="13"/>
        <v>0</v>
      </c>
      <c r="AL106" s="9" t="s">
        <v>39</v>
      </c>
    </row>
    <row r="107" spans="1:38" x14ac:dyDescent="0.35">
      <c r="A107">
        <v>120</v>
      </c>
      <c r="B107" t="s">
        <v>16</v>
      </c>
      <c r="C107">
        <v>1.61</v>
      </c>
      <c r="D107" s="2">
        <v>135</v>
      </c>
      <c r="E107" t="s">
        <v>52</v>
      </c>
      <c r="F107" t="s">
        <v>53</v>
      </c>
      <c r="G107" t="s">
        <v>167</v>
      </c>
      <c r="H107">
        <v>0</v>
      </c>
      <c r="I107" s="13">
        <v>0.5</v>
      </c>
      <c r="J107" s="2">
        <v>4</v>
      </c>
      <c r="K107">
        <v>5</v>
      </c>
      <c r="L107" s="2">
        <f t="shared" si="8"/>
        <v>1</v>
      </c>
      <c r="M107">
        <v>8</v>
      </c>
      <c r="N107">
        <v>4</v>
      </c>
      <c r="O107">
        <f t="shared" si="9"/>
        <v>-4</v>
      </c>
      <c r="P107">
        <v>2</v>
      </c>
      <c r="Q107">
        <v>2</v>
      </c>
      <c r="R107">
        <f t="shared" si="10"/>
        <v>0</v>
      </c>
      <c r="S107">
        <v>1</v>
      </c>
      <c r="T107">
        <v>1</v>
      </c>
      <c r="U107">
        <f t="shared" si="11"/>
        <v>0</v>
      </c>
      <c r="V107">
        <v>0</v>
      </c>
      <c r="W107">
        <v>0</v>
      </c>
      <c r="X107">
        <f t="shared" si="12"/>
        <v>0</v>
      </c>
      <c r="Y107" s="2">
        <v>0</v>
      </c>
      <c r="Z107" s="2">
        <v>1</v>
      </c>
      <c r="AA107" s="2">
        <v>0</v>
      </c>
      <c r="AB107">
        <f t="shared" si="7"/>
        <v>1</v>
      </c>
      <c r="AC107" s="2">
        <v>0</v>
      </c>
      <c r="AD107" s="2">
        <v>1</v>
      </c>
      <c r="AE107" s="2">
        <v>0</v>
      </c>
      <c r="AF107" s="2">
        <v>1</v>
      </c>
      <c r="AG107" s="2">
        <v>0</v>
      </c>
      <c r="AH107" s="2">
        <v>0</v>
      </c>
      <c r="AI107" s="2">
        <v>0</v>
      </c>
      <c r="AJ107" s="2">
        <v>0</v>
      </c>
      <c r="AK107">
        <f t="shared" si="13"/>
        <v>0</v>
      </c>
      <c r="AL107" t="s">
        <v>6</v>
      </c>
    </row>
    <row r="108" spans="1:38" x14ac:dyDescent="0.35">
      <c r="A108">
        <v>121</v>
      </c>
      <c r="B108" t="s">
        <v>164</v>
      </c>
      <c r="C108">
        <v>0.44</v>
      </c>
      <c r="D108" s="2">
        <v>5</v>
      </c>
      <c r="E108" t="s">
        <v>162</v>
      </c>
      <c r="F108" t="s">
        <v>55</v>
      </c>
      <c r="G108" t="s">
        <v>166</v>
      </c>
      <c r="H108">
        <v>0</v>
      </c>
      <c r="I108" s="13">
        <v>0.75</v>
      </c>
      <c r="J108" s="2">
        <v>3</v>
      </c>
      <c r="K108">
        <v>3</v>
      </c>
      <c r="L108" s="2">
        <f t="shared" si="8"/>
        <v>0</v>
      </c>
      <c r="M108">
        <v>6</v>
      </c>
      <c r="N108">
        <v>5</v>
      </c>
      <c r="O108">
        <f t="shared" si="9"/>
        <v>-1</v>
      </c>
      <c r="P108">
        <v>2</v>
      </c>
      <c r="Q108">
        <v>2</v>
      </c>
      <c r="R108">
        <f t="shared" si="10"/>
        <v>0</v>
      </c>
      <c r="S108">
        <v>2</v>
      </c>
      <c r="T108">
        <v>2</v>
      </c>
      <c r="U108">
        <f t="shared" si="11"/>
        <v>0</v>
      </c>
      <c r="V108">
        <v>1</v>
      </c>
      <c r="W108">
        <v>1</v>
      </c>
      <c r="X108">
        <f t="shared" si="12"/>
        <v>0</v>
      </c>
      <c r="Y108" s="2">
        <v>0</v>
      </c>
      <c r="Z108" s="2">
        <v>1</v>
      </c>
      <c r="AA108" s="2">
        <v>1</v>
      </c>
      <c r="AB108">
        <f t="shared" si="7"/>
        <v>1</v>
      </c>
      <c r="AC108" s="2">
        <v>1</v>
      </c>
      <c r="AD108" s="2">
        <v>1</v>
      </c>
      <c r="AE108" s="2">
        <v>0</v>
      </c>
      <c r="AF108" s="2">
        <v>1</v>
      </c>
      <c r="AG108" s="2">
        <v>0</v>
      </c>
      <c r="AH108" s="2">
        <v>1</v>
      </c>
      <c r="AI108" s="2">
        <v>1</v>
      </c>
      <c r="AJ108" s="2">
        <v>1</v>
      </c>
      <c r="AK108">
        <f t="shared" si="13"/>
        <v>0</v>
      </c>
      <c r="AL108" t="s">
        <v>6</v>
      </c>
    </row>
    <row r="109" spans="1:38" x14ac:dyDescent="0.35">
      <c r="A109">
        <v>122</v>
      </c>
      <c r="B109" t="s">
        <v>127</v>
      </c>
      <c r="C109" s="9">
        <v>1.81</v>
      </c>
      <c r="D109" s="5">
        <v>15</v>
      </c>
      <c r="E109" t="s">
        <v>61</v>
      </c>
      <c r="F109" t="s">
        <v>53</v>
      </c>
      <c r="G109" t="s">
        <v>166</v>
      </c>
      <c r="H109">
        <v>0</v>
      </c>
      <c r="I109" s="13">
        <v>0.25</v>
      </c>
      <c r="J109" s="2">
        <v>3</v>
      </c>
      <c r="K109">
        <v>3</v>
      </c>
      <c r="L109" s="2">
        <f t="shared" si="8"/>
        <v>0</v>
      </c>
      <c r="M109">
        <v>4</v>
      </c>
      <c r="N109">
        <v>4</v>
      </c>
      <c r="O109">
        <f t="shared" si="9"/>
        <v>0</v>
      </c>
      <c r="P109">
        <v>2</v>
      </c>
      <c r="Q109">
        <v>2</v>
      </c>
      <c r="R109">
        <f t="shared" si="10"/>
        <v>0</v>
      </c>
      <c r="S109">
        <v>2</v>
      </c>
      <c r="T109">
        <v>3</v>
      </c>
      <c r="U109">
        <f t="shared" si="11"/>
        <v>1</v>
      </c>
      <c r="V109">
        <v>1</v>
      </c>
      <c r="W109">
        <v>1</v>
      </c>
      <c r="X109">
        <f t="shared" si="12"/>
        <v>0</v>
      </c>
      <c r="Y109" s="2">
        <v>0</v>
      </c>
      <c r="Z109" s="2">
        <v>1</v>
      </c>
      <c r="AA109" s="2">
        <v>0</v>
      </c>
      <c r="AB109">
        <f t="shared" si="7"/>
        <v>1</v>
      </c>
      <c r="AC109" s="2">
        <v>0</v>
      </c>
      <c r="AD109" s="2">
        <v>0</v>
      </c>
      <c r="AE109" s="2">
        <v>0</v>
      </c>
      <c r="AF109" s="2">
        <v>1</v>
      </c>
      <c r="AG109" s="2">
        <v>0</v>
      </c>
      <c r="AH109" s="2">
        <v>0</v>
      </c>
      <c r="AI109" s="2">
        <v>0</v>
      </c>
      <c r="AJ109" s="2">
        <v>1</v>
      </c>
      <c r="AK109">
        <f t="shared" si="13"/>
        <v>0</v>
      </c>
      <c r="AL109" s="9" t="s">
        <v>39</v>
      </c>
    </row>
    <row r="110" spans="1:38" x14ac:dyDescent="0.35">
      <c r="A110">
        <v>124</v>
      </c>
      <c r="B110" t="s">
        <v>18</v>
      </c>
      <c r="C110">
        <v>-0.04</v>
      </c>
      <c r="D110" s="2">
        <v>60</v>
      </c>
      <c r="E110" t="s">
        <v>160</v>
      </c>
      <c r="F110" t="s">
        <v>53</v>
      </c>
      <c r="G110" t="s">
        <v>166</v>
      </c>
      <c r="H110">
        <v>0</v>
      </c>
      <c r="I110" s="13">
        <v>0.5</v>
      </c>
      <c r="J110" s="2">
        <v>6</v>
      </c>
      <c r="K110">
        <v>8</v>
      </c>
      <c r="L110" s="2">
        <f t="shared" si="8"/>
        <v>2</v>
      </c>
      <c r="M110">
        <v>5</v>
      </c>
      <c r="N110">
        <v>6</v>
      </c>
      <c r="O110">
        <f t="shared" si="9"/>
        <v>1</v>
      </c>
      <c r="P110">
        <v>3</v>
      </c>
      <c r="Q110">
        <v>3</v>
      </c>
      <c r="R110">
        <f t="shared" si="10"/>
        <v>0</v>
      </c>
      <c r="S110">
        <v>2</v>
      </c>
      <c r="T110">
        <v>2</v>
      </c>
      <c r="U110">
        <f t="shared" si="11"/>
        <v>0</v>
      </c>
      <c r="V110">
        <v>2</v>
      </c>
      <c r="W110">
        <v>1</v>
      </c>
      <c r="X110">
        <f t="shared" si="12"/>
        <v>-1</v>
      </c>
      <c r="Y110" s="2">
        <v>1</v>
      </c>
      <c r="Z110" s="2">
        <v>0</v>
      </c>
      <c r="AA110" s="2">
        <v>0</v>
      </c>
      <c r="AB110">
        <f t="shared" si="7"/>
        <v>0</v>
      </c>
      <c r="AC110" s="2">
        <v>0</v>
      </c>
      <c r="AD110" s="2">
        <v>1</v>
      </c>
      <c r="AE110" s="2">
        <v>0</v>
      </c>
      <c r="AF110" s="2">
        <v>1</v>
      </c>
      <c r="AG110" s="2">
        <v>0</v>
      </c>
      <c r="AH110" s="2">
        <v>0</v>
      </c>
      <c r="AI110" s="2">
        <v>1</v>
      </c>
      <c r="AJ110" s="2">
        <v>0</v>
      </c>
      <c r="AK110">
        <f t="shared" si="13"/>
        <v>0</v>
      </c>
      <c r="AL110" s="2" t="s">
        <v>6</v>
      </c>
    </row>
    <row r="111" spans="1:38" x14ac:dyDescent="0.35">
      <c r="A111">
        <v>125</v>
      </c>
      <c r="B111" t="s">
        <v>164</v>
      </c>
      <c r="C111">
        <v>0.44</v>
      </c>
      <c r="D111" s="2">
        <v>6</v>
      </c>
      <c r="E111" t="s">
        <v>162</v>
      </c>
      <c r="F111" t="s">
        <v>53</v>
      </c>
      <c r="G111" t="s">
        <v>167</v>
      </c>
      <c r="H111">
        <v>0</v>
      </c>
      <c r="I111" s="13">
        <v>0.5</v>
      </c>
      <c r="J111" s="2">
        <v>5</v>
      </c>
      <c r="K111">
        <v>5</v>
      </c>
      <c r="L111" s="2">
        <f t="shared" si="8"/>
        <v>0</v>
      </c>
      <c r="M111">
        <v>7</v>
      </c>
      <c r="N111">
        <v>6</v>
      </c>
      <c r="O111">
        <f t="shared" si="9"/>
        <v>-1</v>
      </c>
      <c r="P111">
        <v>1</v>
      </c>
      <c r="Q111">
        <v>1</v>
      </c>
      <c r="R111">
        <f t="shared" si="10"/>
        <v>0</v>
      </c>
      <c r="S111">
        <v>3</v>
      </c>
      <c r="T111">
        <v>3</v>
      </c>
      <c r="U111">
        <f t="shared" si="11"/>
        <v>0</v>
      </c>
      <c r="V111">
        <v>1</v>
      </c>
      <c r="W111">
        <v>1</v>
      </c>
      <c r="X111">
        <f t="shared" si="12"/>
        <v>0</v>
      </c>
      <c r="Y111" s="2">
        <v>0</v>
      </c>
      <c r="Z111" s="2">
        <v>1</v>
      </c>
      <c r="AA111" s="2">
        <v>0</v>
      </c>
      <c r="AB111">
        <f t="shared" si="7"/>
        <v>1</v>
      </c>
      <c r="AC111" s="2">
        <v>0</v>
      </c>
      <c r="AD111" s="2">
        <v>1</v>
      </c>
      <c r="AE111" s="2">
        <v>0</v>
      </c>
      <c r="AF111" s="2">
        <v>1</v>
      </c>
      <c r="AG111" s="2">
        <v>0</v>
      </c>
      <c r="AH111" s="2">
        <v>0</v>
      </c>
      <c r="AI111" s="2">
        <v>1</v>
      </c>
      <c r="AJ111" s="2">
        <v>0</v>
      </c>
      <c r="AK111">
        <f t="shared" si="13"/>
        <v>0</v>
      </c>
      <c r="AL111" t="s">
        <v>136</v>
      </c>
    </row>
    <row r="112" spans="1:38" x14ac:dyDescent="0.35">
      <c r="A112">
        <v>126</v>
      </c>
      <c r="B112" t="s">
        <v>127</v>
      </c>
      <c r="C112" s="9">
        <v>1.81</v>
      </c>
      <c r="D112" s="2">
        <v>18</v>
      </c>
      <c r="E112" t="s">
        <v>61</v>
      </c>
      <c r="F112" t="s">
        <v>55</v>
      </c>
      <c r="G112" t="s">
        <v>166</v>
      </c>
      <c r="H112">
        <v>0</v>
      </c>
      <c r="I112" s="13">
        <v>0.75</v>
      </c>
      <c r="J112" s="2">
        <v>3</v>
      </c>
      <c r="K112">
        <v>3</v>
      </c>
      <c r="L112" s="2">
        <f t="shared" si="8"/>
        <v>0</v>
      </c>
      <c r="M112">
        <v>2</v>
      </c>
      <c r="N112">
        <v>2</v>
      </c>
      <c r="O112">
        <f t="shared" si="9"/>
        <v>0</v>
      </c>
      <c r="P112">
        <v>2</v>
      </c>
      <c r="Q112">
        <v>2</v>
      </c>
      <c r="R112">
        <f t="shared" si="10"/>
        <v>0</v>
      </c>
      <c r="S112">
        <v>4</v>
      </c>
      <c r="T112">
        <v>2</v>
      </c>
      <c r="U112">
        <f t="shared" si="11"/>
        <v>-2</v>
      </c>
      <c r="V112">
        <v>1</v>
      </c>
      <c r="W112">
        <v>1</v>
      </c>
      <c r="X112">
        <f t="shared" si="12"/>
        <v>0</v>
      </c>
      <c r="Y112" s="2">
        <v>0</v>
      </c>
      <c r="Z112" s="2">
        <v>0</v>
      </c>
      <c r="AA112" s="2">
        <v>0</v>
      </c>
      <c r="AB112">
        <f t="shared" si="7"/>
        <v>0</v>
      </c>
      <c r="AC112" s="2">
        <v>0</v>
      </c>
      <c r="AD112" s="2">
        <v>0</v>
      </c>
      <c r="AE112" s="2">
        <v>0</v>
      </c>
      <c r="AF112" s="2">
        <v>1</v>
      </c>
      <c r="AG112" s="2">
        <v>0</v>
      </c>
      <c r="AH112" s="2">
        <v>0</v>
      </c>
      <c r="AI112" s="2">
        <v>0</v>
      </c>
      <c r="AJ112" s="2">
        <v>1</v>
      </c>
      <c r="AK112">
        <f t="shared" si="13"/>
        <v>0</v>
      </c>
      <c r="AL112" t="s">
        <v>43</v>
      </c>
    </row>
    <row r="113" spans="1:38" x14ac:dyDescent="0.35">
      <c r="A113">
        <v>127</v>
      </c>
      <c r="B113" t="s">
        <v>16</v>
      </c>
      <c r="C113">
        <v>1.61</v>
      </c>
      <c r="D113" s="2">
        <v>116</v>
      </c>
      <c r="E113" t="s">
        <v>52</v>
      </c>
      <c r="F113" t="s">
        <v>55</v>
      </c>
      <c r="G113" t="s">
        <v>166</v>
      </c>
      <c r="H113">
        <v>0</v>
      </c>
      <c r="I113" s="13">
        <v>0</v>
      </c>
      <c r="J113" s="2">
        <v>5</v>
      </c>
      <c r="K113">
        <v>6</v>
      </c>
      <c r="L113" s="2">
        <f t="shared" si="8"/>
        <v>1</v>
      </c>
      <c r="M113">
        <v>10</v>
      </c>
      <c r="N113">
        <v>10</v>
      </c>
      <c r="O113">
        <f t="shared" si="9"/>
        <v>0</v>
      </c>
      <c r="P113">
        <v>3</v>
      </c>
      <c r="Q113">
        <v>3</v>
      </c>
      <c r="R113">
        <f t="shared" si="10"/>
        <v>0</v>
      </c>
      <c r="S113">
        <v>1</v>
      </c>
      <c r="T113">
        <v>1</v>
      </c>
      <c r="U113">
        <f t="shared" si="11"/>
        <v>0</v>
      </c>
      <c r="V113">
        <v>0</v>
      </c>
      <c r="W113">
        <v>0</v>
      </c>
      <c r="X113">
        <f t="shared" si="12"/>
        <v>0</v>
      </c>
      <c r="Y113" s="2">
        <v>0</v>
      </c>
      <c r="Z113" s="2">
        <v>0</v>
      </c>
      <c r="AA113" s="2">
        <v>0</v>
      </c>
      <c r="AB113">
        <f t="shared" si="7"/>
        <v>0</v>
      </c>
      <c r="AC113" s="2">
        <v>0</v>
      </c>
      <c r="AD113" s="2">
        <v>0</v>
      </c>
      <c r="AE113" s="2">
        <v>0</v>
      </c>
      <c r="AF113" s="2">
        <v>0</v>
      </c>
      <c r="AG113" s="2">
        <v>0</v>
      </c>
      <c r="AH113" s="2">
        <v>0</v>
      </c>
      <c r="AI113" s="2">
        <v>0</v>
      </c>
      <c r="AJ113" s="2">
        <v>0</v>
      </c>
      <c r="AK113">
        <f t="shared" si="13"/>
        <v>1</v>
      </c>
      <c r="AL113" t="s">
        <v>140</v>
      </c>
    </row>
    <row r="114" spans="1:38" x14ac:dyDescent="0.35">
      <c r="A114">
        <v>128</v>
      </c>
      <c r="B114" t="s">
        <v>16</v>
      </c>
      <c r="C114">
        <v>1.61</v>
      </c>
      <c r="D114" s="2">
        <v>9</v>
      </c>
      <c r="E114" t="s">
        <v>52</v>
      </c>
      <c r="F114" t="s">
        <v>56</v>
      </c>
      <c r="G114" t="s">
        <v>167</v>
      </c>
      <c r="H114">
        <v>1</v>
      </c>
      <c r="I114" s="13">
        <v>1</v>
      </c>
      <c r="J114" s="2">
        <v>5</v>
      </c>
      <c r="K114">
        <v>5</v>
      </c>
      <c r="L114" s="2">
        <f t="shared" si="8"/>
        <v>0</v>
      </c>
      <c r="M114">
        <v>10</v>
      </c>
      <c r="N114">
        <v>1</v>
      </c>
      <c r="O114">
        <f t="shared" si="9"/>
        <v>-9</v>
      </c>
      <c r="P114">
        <v>2</v>
      </c>
      <c r="Q114">
        <v>2</v>
      </c>
      <c r="R114">
        <f t="shared" si="10"/>
        <v>0</v>
      </c>
      <c r="S114">
        <v>3</v>
      </c>
      <c r="T114">
        <v>2</v>
      </c>
      <c r="U114">
        <f t="shared" si="11"/>
        <v>-1</v>
      </c>
      <c r="V114">
        <v>2</v>
      </c>
      <c r="W114">
        <v>2</v>
      </c>
      <c r="X114">
        <f t="shared" si="12"/>
        <v>0</v>
      </c>
      <c r="Y114" s="2">
        <v>0</v>
      </c>
      <c r="Z114" s="2">
        <v>1</v>
      </c>
      <c r="AA114" s="2">
        <v>0</v>
      </c>
      <c r="AB114">
        <f t="shared" si="7"/>
        <v>1</v>
      </c>
      <c r="AC114" s="2">
        <v>0</v>
      </c>
      <c r="AD114" s="2">
        <v>0</v>
      </c>
      <c r="AE114" s="2">
        <v>1</v>
      </c>
      <c r="AF114" s="2">
        <v>0</v>
      </c>
      <c r="AG114" s="2">
        <v>0</v>
      </c>
      <c r="AH114" s="2">
        <v>0</v>
      </c>
      <c r="AI114" s="2">
        <v>1</v>
      </c>
      <c r="AJ114" s="2">
        <v>1</v>
      </c>
      <c r="AK114">
        <f t="shared" si="13"/>
        <v>0</v>
      </c>
      <c r="AL114" t="s">
        <v>38</v>
      </c>
    </row>
    <row r="115" spans="1:38" x14ac:dyDescent="0.35">
      <c r="A115">
        <v>129</v>
      </c>
      <c r="B115" t="s">
        <v>18</v>
      </c>
      <c r="C115">
        <v>-0.04</v>
      </c>
      <c r="D115" s="2">
        <v>40</v>
      </c>
      <c r="E115" t="s">
        <v>62</v>
      </c>
      <c r="F115" t="s">
        <v>55</v>
      </c>
      <c r="G115" t="s">
        <v>166</v>
      </c>
      <c r="H115">
        <v>0</v>
      </c>
      <c r="I115" s="13">
        <v>0.25</v>
      </c>
      <c r="J115" s="2">
        <v>3</v>
      </c>
      <c r="K115">
        <v>5</v>
      </c>
      <c r="L115" s="2">
        <f t="shared" si="8"/>
        <v>2</v>
      </c>
      <c r="M115">
        <v>2</v>
      </c>
      <c r="N115">
        <v>2</v>
      </c>
      <c r="O115">
        <f t="shared" si="9"/>
        <v>0</v>
      </c>
      <c r="P115">
        <v>2</v>
      </c>
      <c r="Q115">
        <v>2</v>
      </c>
      <c r="R115">
        <f t="shared" si="10"/>
        <v>0</v>
      </c>
      <c r="S115">
        <v>1</v>
      </c>
      <c r="T115">
        <v>1</v>
      </c>
      <c r="U115">
        <f t="shared" si="11"/>
        <v>0</v>
      </c>
      <c r="V115">
        <v>2</v>
      </c>
      <c r="W115">
        <v>2</v>
      </c>
      <c r="X115">
        <f t="shared" si="12"/>
        <v>0</v>
      </c>
      <c r="Y115" s="2">
        <v>0</v>
      </c>
      <c r="Z115" s="2">
        <v>1</v>
      </c>
      <c r="AA115" s="2">
        <v>0</v>
      </c>
      <c r="AB115">
        <f t="shared" si="7"/>
        <v>1</v>
      </c>
      <c r="AC115" s="2">
        <v>1</v>
      </c>
      <c r="AD115" s="2">
        <v>1</v>
      </c>
      <c r="AE115" s="2">
        <v>0</v>
      </c>
      <c r="AF115" s="2">
        <v>1</v>
      </c>
      <c r="AG115" s="2">
        <v>0</v>
      </c>
      <c r="AH115" s="2">
        <v>1</v>
      </c>
      <c r="AI115" s="2">
        <v>1</v>
      </c>
      <c r="AJ115" s="2">
        <v>0</v>
      </c>
      <c r="AK115">
        <f t="shared" si="13"/>
        <v>0</v>
      </c>
      <c r="AL115" t="s">
        <v>136</v>
      </c>
    </row>
    <row r="116" spans="1:38" x14ac:dyDescent="0.35">
      <c r="A116">
        <v>130</v>
      </c>
      <c r="B116" t="s">
        <v>18</v>
      </c>
      <c r="C116">
        <v>-0.04</v>
      </c>
      <c r="D116" s="2">
        <v>103</v>
      </c>
      <c r="E116" t="s">
        <v>62</v>
      </c>
      <c r="F116" t="s">
        <v>53</v>
      </c>
      <c r="G116" t="s">
        <v>166</v>
      </c>
      <c r="H116">
        <v>0</v>
      </c>
      <c r="I116" s="13">
        <v>0.25</v>
      </c>
      <c r="J116" s="2">
        <v>11</v>
      </c>
      <c r="K116">
        <v>10</v>
      </c>
      <c r="L116" s="2">
        <f t="shared" si="8"/>
        <v>-1</v>
      </c>
      <c r="M116">
        <v>7</v>
      </c>
      <c r="N116">
        <v>7</v>
      </c>
      <c r="O116">
        <f t="shared" si="9"/>
        <v>0</v>
      </c>
      <c r="P116">
        <v>3</v>
      </c>
      <c r="Q116">
        <v>3</v>
      </c>
      <c r="R116">
        <f t="shared" si="10"/>
        <v>0</v>
      </c>
      <c r="S116">
        <v>2</v>
      </c>
      <c r="T116">
        <v>2</v>
      </c>
      <c r="U116">
        <f t="shared" si="11"/>
        <v>0</v>
      </c>
      <c r="V116">
        <v>2</v>
      </c>
      <c r="W116">
        <v>2</v>
      </c>
      <c r="X116">
        <f t="shared" si="12"/>
        <v>0</v>
      </c>
      <c r="Y116" s="2">
        <v>0</v>
      </c>
      <c r="Z116" s="2">
        <v>1</v>
      </c>
      <c r="AA116" s="2">
        <v>0</v>
      </c>
      <c r="AB116">
        <f t="shared" si="7"/>
        <v>1</v>
      </c>
      <c r="AC116" s="2">
        <v>0</v>
      </c>
      <c r="AD116" s="2">
        <v>1</v>
      </c>
      <c r="AE116" s="2">
        <v>0</v>
      </c>
      <c r="AF116" s="2">
        <v>1</v>
      </c>
      <c r="AG116" s="2">
        <v>0</v>
      </c>
      <c r="AH116" s="2">
        <v>1</v>
      </c>
      <c r="AI116" s="2">
        <v>1</v>
      </c>
      <c r="AJ116" s="2">
        <v>1</v>
      </c>
      <c r="AK116">
        <f t="shared" si="13"/>
        <v>0</v>
      </c>
      <c r="AL116" t="s">
        <v>6</v>
      </c>
    </row>
    <row r="117" spans="1:38" x14ac:dyDescent="0.35">
      <c r="A117">
        <v>131</v>
      </c>
      <c r="B117" t="s">
        <v>165</v>
      </c>
      <c r="C117">
        <v>1.47</v>
      </c>
      <c r="D117" s="2">
        <v>13</v>
      </c>
      <c r="E117" t="s">
        <v>162</v>
      </c>
      <c r="F117" t="s">
        <v>53</v>
      </c>
      <c r="G117" t="s">
        <v>166</v>
      </c>
      <c r="H117">
        <v>0</v>
      </c>
      <c r="I117" s="13">
        <v>0</v>
      </c>
      <c r="J117" s="2">
        <v>3</v>
      </c>
      <c r="K117">
        <v>3</v>
      </c>
      <c r="L117" s="2">
        <f t="shared" si="8"/>
        <v>0</v>
      </c>
      <c r="M117">
        <v>5</v>
      </c>
      <c r="N117">
        <v>5</v>
      </c>
      <c r="O117">
        <f t="shared" si="9"/>
        <v>0</v>
      </c>
      <c r="P117">
        <v>1</v>
      </c>
      <c r="Q117">
        <v>1</v>
      </c>
      <c r="R117">
        <f t="shared" si="10"/>
        <v>0</v>
      </c>
      <c r="S117">
        <v>1</v>
      </c>
      <c r="T117">
        <v>1</v>
      </c>
      <c r="U117">
        <f t="shared" si="11"/>
        <v>0</v>
      </c>
      <c r="V117">
        <v>0</v>
      </c>
      <c r="W117">
        <v>0</v>
      </c>
      <c r="X117">
        <f t="shared" si="12"/>
        <v>0</v>
      </c>
      <c r="Y117" s="2">
        <v>0</v>
      </c>
      <c r="Z117" s="2">
        <v>0</v>
      </c>
      <c r="AA117" s="2">
        <v>0</v>
      </c>
      <c r="AB117">
        <f t="shared" ref="AB117:AB174" si="14">IF(Z117+AA117&gt;0,1,0)</f>
        <v>0</v>
      </c>
      <c r="AC117" s="2">
        <v>0</v>
      </c>
      <c r="AD117" s="2">
        <v>0</v>
      </c>
      <c r="AE117" s="2">
        <v>0</v>
      </c>
      <c r="AF117" s="2">
        <v>0</v>
      </c>
      <c r="AG117" s="2">
        <v>0</v>
      </c>
      <c r="AH117" s="2">
        <v>0</v>
      </c>
      <c r="AI117" s="2">
        <v>0</v>
      </c>
      <c r="AJ117" s="2">
        <v>0</v>
      </c>
      <c r="AK117">
        <f t="shared" si="13"/>
        <v>1</v>
      </c>
      <c r="AL117" t="s">
        <v>140</v>
      </c>
    </row>
    <row r="118" spans="1:38" x14ac:dyDescent="0.35">
      <c r="A118">
        <v>132</v>
      </c>
      <c r="B118" t="s">
        <v>16</v>
      </c>
      <c r="C118">
        <v>1.61</v>
      </c>
      <c r="D118" s="2">
        <v>7</v>
      </c>
      <c r="E118" t="s">
        <v>52</v>
      </c>
      <c r="F118" t="s">
        <v>55</v>
      </c>
      <c r="G118" t="s">
        <v>167</v>
      </c>
      <c r="H118">
        <v>1</v>
      </c>
      <c r="I118" s="13">
        <v>1</v>
      </c>
      <c r="J118" s="2">
        <v>10</v>
      </c>
      <c r="K118">
        <v>10</v>
      </c>
      <c r="L118" s="2">
        <f t="shared" si="8"/>
        <v>0</v>
      </c>
      <c r="M118">
        <v>8</v>
      </c>
      <c r="N118">
        <v>2</v>
      </c>
      <c r="O118">
        <f t="shared" si="9"/>
        <v>-6</v>
      </c>
      <c r="P118">
        <v>3</v>
      </c>
      <c r="Q118">
        <v>3</v>
      </c>
      <c r="R118">
        <f t="shared" si="10"/>
        <v>0</v>
      </c>
      <c r="S118">
        <v>1</v>
      </c>
      <c r="T118">
        <v>3</v>
      </c>
      <c r="U118">
        <f t="shared" si="11"/>
        <v>2</v>
      </c>
      <c r="V118">
        <v>1</v>
      </c>
      <c r="W118">
        <v>2</v>
      </c>
      <c r="X118">
        <f t="shared" si="12"/>
        <v>1</v>
      </c>
      <c r="Y118" s="2">
        <v>0</v>
      </c>
      <c r="Z118" s="2">
        <v>1</v>
      </c>
      <c r="AA118" s="2">
        <v>0</v>
      </c>
      <c r="AB118">
        <f t="shared" si="14"/>
        <v>1</v>
      </c>
      <c r="AC118" s="2">
        <v>0</v>
      </c>
      <c r="AD118" s="2">
        <v>1</v>
      </c>
      <c r="AE118" s="2">
        <v>0</v>
      </c>
      <c r="AF118" s="2">
        <v>1</v>
      </c>
      <c r="AG118" s="2">
        <v>1</v>
      </c>
      <c r="AH118" s="2">
        <v>1</v>
      </c>
      <c r="AI118" s="2">
        <v>0</v>
      </c>
      <c r="AJ118" s="2">
        <v>0</v>
      </c>
      <c r="AK118">
        <f t="shared" si="13"/>
        <v>0</v>
      </c>
      <c r="AL118" t="s">
        <v>6</v>
      </c>
    </row>
    <row r="119" spans="1:38" x14ac:dyDescent="0.35">
      <c r="A119">
        <v>133</v>
      </c>
      <c r="B119" t="s">
        <v>18</v>
      </c>
      <c r="C119">
        <v>-0.04</v>
      </c>
      <c r="D119" s="5">
        <v>40</v>
      </c>
      <c r="E119" t="s">
        <v>160</v>
      </c>
      <c r="F119" t="s">
        <v>56</v>
      </c>
      <c r="G119" t="s">
        <v>166</v>
      </c>
      <c r="H119">
        <v>0</v>
      </c>
      <c r="I119" s="13">
        <v>0</v>
      </c>
      <c r="J119" s="2">
        <v>3</v>
      </c>
      <c r="K119">
        <v>3</v>
      </c>
      <c r="L119" s="2">
        <f t="shared" si="8"/>
        <v>0</v>
      </c>
      <c r="M119">
        <v>8</v>
      </c>
      <c r="N119">
        <v>8</v>
      </c>
      <c r="O119">
        <f t="shared" si="9"/>
        <v>0</v>
      </c>
      <c r="P119">
        <v>3</v>
      </c>
      <c r="Q119">
        <v>3</v>
      </c>
      <c r="R119">
        <f t="shared" si="10"/>
        <v>0</v>
      </c>
      <c r="S119">
        <v>1</v>
      </c>
      <c r="T119">
        <v>1</v>
      </c>
      <c r="U119">
        <f t="shared" si="11"/>
        <v>0</v>
      </c>
      <c r="V119">
        <v>-1</v>
      </c>
      <c r="W119">
        <v>-1</v>
      </c>
      <c r="X119">
        <f t="shared" si="12"/>
        <v>0</v>
      </c>
      <c r="Y119" s="2">
        <v>0</v>
      </c>
      <c r="Z119" s="2">
        <v>0</v>
      </c>
      <c r="AA119" s="2">
        <v>0</v>
      </c>
      <c r="AB119">
        <f t="shared" si="14"/>
        <v>0</v>
      </c>
      <c r="AC119" s="2">
        <v>0</v>
      </c>
      <c r="AD119" s="2">
        <v>0</v>
      </c>
      <c r="AE119" s="2">
        <v>0</v>
      </c>
      <c r="AF119" s="2">
        <v>1</v>
      </c>
      <c r="AG119" s="2">
        <v>0</v>
      </c>
      <c r="AH119" s="2">
        <v>0</v>
      </c>
      <c r="AI119" s="2">
        <v>0</v>
      </c>
      <c r="AJ119" s="2">
        <v>0</v>
      </c>
      <c r="AK119">
        <f t="shared" si="13"/>
        <v>0</v>
      </c>
      <c r="AL119" s="9" t="s">
        <v>39</v>
      </c>
    </row>
    <row r="120" spans="1:38" x14ac:dyDescent="0.35">
      <c r="A120">
        <v>134</v>
      </c>
      <c r="B120" t="s">
        <v>18</v>
      </c>
      <c r="C120">
        <v>-0.04</v>
      </c>
      <c r="D120" s="2">
        <v>101</v>
      </c>
      <c r="E120" t="s">
        <v>162</v>
      </c>
      <c r="F120" t="s">
        <v>55</v>
      </c>
      <c r="G120" t="s">
        <v>166</v>
      </c>
      <c r="H120">
        <v>0</v>
      </c>
      <c r="I120" s="13">
        <v>0.25</v>
      </c>
      <c r="J120" s="2">
        <v>2</v>
      </c>
      <c r="K120">
        <v>2</v>
      </c>
      <c r="L120" s="2">
        <f t="shared" si="8"/>
        <v>0</v>
      </c>
      <c r="M120">
        <v>7</v>
      </c>
      <c r="N120">
        <v>6</v>
      </c>
      <c r="O120">
        <f t="shared" si="9"/>
        <v>-1</v>
      </c>
      <c r="P120">
        <v>1</v>
      </c>
      <c r="Q120">
        <v>1</v>
      </c>
      <c r="R120">
        <f t="shared" si="10"/>
        <v>0</v>
      </c>
      <c r="S120">
        <v>1</v>
      </c>
      <c r="T120">
        <v>1</v>
      </c>
      <c r="U120">
        <f t="shared" si="11"/>
        <v>0</v>
      </c>
      <c r="V120">
        <v>2</v>
      </c>
      <c r="W120">
        <v>2</v>
      </c>
      <c r="X120">
        <f t="shared" si="12"/>
        <v>0</v>
      </c>
      <c r="Y120" s="2">
        <v>0</v>
      </c>
      <c r="Z120" s="2">
        <v>0</v>
      </c>
      <c r="AA120" s="2">
        <v>0</v>
      </c>
      <c r="AB120">
        <f t="shared" si="14"/>
        <v>0</v>
      </c>
      <c r="AC120" s="2">
        <v>0</v>
      </c>
      <c r="AD120" s="2">
        <v>0</v>
      </c>
      <c r="AE120" s="2">
        <v>0</v>
      </c>
      <c r="AF120" s="2">
        <v>0</v>
      </c>
      <c r="AG120" s="2">
        <v>0</v>
      </c>
      <c r="AH120" s="2">
        <v>0</v>
      </c>
      <c r="AI120" s="2">
        <v>0</v>
      </c>
      <c r="AJ120" s="2">
        <v>0</v>
      </c>
      <c r="AK120">
        <f t="shared" si="13"/>
        <v>1</v>
      </c>
      <c r="AL120" t="s">
        <v>140</v>
      </c>
    </row>
    <row r="121" spans="1:38" x14ac:dyDescent="0.35">
      <c r="A121">
        <v>135</v>
      </c>
      <c r="B121" t="s">
        <v>18</v>
      </c>
      <c r="C121">
        <v>-0.04</v>
      </c>
      <c r="D121" s="2">
        <v>100</v>
      </c>
      <c r="E121" t="s">
        <v>160</v>
      </c>
      <c r="F121" t="s">
        <v>59</v>
      </c>
      <c r="G121" t="s">
        <v>167</v>
      </c>
      <c r="H121">
        <v>0</v>
      </c>
      <c r="I121" s="13">
        <v>0.5</v>
      </c>
      <c r="J121" s="2">
        <v>2</v>
      </c>
      <c r="K121">
        <v>3</v>
      </c>
      <c r="L121" s="2">
        <f t="shared" si="8"/>
        <v>1</v>
      </c>
      <c r="M121">
        <v>8</v>
      </c>
      <c r="N121">
        <v>8</v>
      </c>
      <c r="O121">
        <f t="shared" si="9"/>
        <v>0</v>
      </c>
      <c r="P121">
        <v>3</v>
      </c>
      <c r="Q121">
        <v>3</v>
      </c>
      <c r="R121">
        <f t="shared" si="10"/>
        <v>0</v>
      </c>
      <c r="S121">
        <v>1</v>
      </c>
      <c r="T121">
        <v>2</v>
      </c>
      <c r="U121">
        <f t="shared" si="11"/>
        <v>1</v>
      </c>
      <c r="V121">
        <v>1</v>
      </c>
      <c r="W121">
        <v>2</v>
      </c>
      <c r="X121">
        <f t="shared" si="12"/>
        <v>1</v>
      </c>
      <c r="Y121" s="2">
        <v>0</v>
      </c>
      <c r="Z121" s="2">
        <v>1</v>
      </c>
      <c r="AA121" s="2">
        <v>0</v>
      </c>
      <c r="AB121">
        <f t="shared" si="14"/>
        <v>1</v>
      </c>
      <c r="AC121" s="2">
        <v>0</v>
      </c>
      <c r="AD121" s="2">
        <v>1</v>
      </c>
      <c r="AE121" s="2">
        <v>0</v>
      </c>
      <c r="AF121" s="2">
        <v>1</v>
      </c>
      <c r="AG121" s="2">
        <v>0</v>
      </c>
      <c r="AH121" s="2">
        <v>0</v>
      </c>
      <c r="AI121" s="2">
        <v>0</v>
      </c>
      <c r="AJ121" s="2">
        <v>0</v>
      </c>
      <c r="AK121">
        <f t="shared" si="13"/>
        <v>0</v>
      </c>
      <c r="AL121" t="s">
        <v>136</v>
      </c>
    </row>
    <row r="122" spans="1:38" x14ac:dyDescent="0.35">
      <c r="A122">
        <v>136</v>
      </c>
      <c r="B122" t="s">
        <v>18</v>
      </c>
      <c r="C122">
        <v>-0.04</v>
      </c>
      <c r="D122" s="2">
        <v>40</v>
      </c>
      <c r="E122" t="s">
        <v>160</v>
      </c>
      <c r="F122" t="s">
        <v>53</v>
      </c>
      <c r="G122" t="s">
        <v>167</v>
      </c>
      <c r="H122">
        <v>0</v>
      </c>
      <c r="I122" s="13">
        <v>0.75</v>
      </c>
      <c r="J122" s="2">
        <v>3</v>
      </c>
      <c r="K122">
        <v>3</v>
      </c>
      <c r="L122" s="2">
        <f t="shared" si="8"/>
        <v>0</v>
      </c>
      <c r="M122">
        <v>10</v>
      </c>
      <c r="N122">
        <v>8</v>
      </c>
      <c r="O122">
        <f t="shared" si="9"/>
        <v>-2</v>
      </c>
      <c r="P122">
        <v>3</v>
      </c>
      <c r="Q122">
        <v>3</v>
      </c>
      <c r="R122">
        <f t="shared" si="10"/>
        <v>0</v>
      </c>
      <c r="S122">
        <v>3</v>
      </c>
      <c r="T122">
        <v>4</v>
      </c>
      <c r="U122">
        <f t="shared" si="11"/>
        <v>1</v>
      </c>
      <c r="V122">
        <v>1</v>
      </c>
      <c r="W122">
        <v>1</v>
      </c>
      <c r="X122">
        <f t="shared" si="12"/>
        <v>0</v>
      </c>
      <c r="Y122" s="2">
        <v>0</v>
      </c>
      <c r="Z122" s="2">
        <v>0</v>
      </c>
      <c r="AA122" s="2">
        <v>0</v>
      </c>
      <c r="AB122">
        <f t="shared" si="14"/>
        <v>0</v>
      </c>
      <c r="AC122" s="2">
        <v>0</v>
      </c>
      <c r="AD122" s="2">
        <v>1</v>
      </c>
      <c r="AE122" s="2">
        <v>0</v>
      </c>
      <c r="AF122" s="2">
        <v>1</v>
      </c>
      <c r="AG122" s="2">
        <v>0</v>
      </c>
      <c r="AH122" s="2">
        <v>0</v>
      </c>
      <c r="AI122" s="2">
        <v>1</v>
      </c>
      <c r="AJ122" s="2">
        <v>0</v>
      </c>
      <c r="AK122">
        <f t="shared" si="13"/>
        <v>0</v>
      </c>
      <c r="AL122" t="s">
        <v>6</v>
      </c>
    </row>
    <row r="123" spans="1:38" x14ac:dyDescent="0.35">
      <c r="A123">
        <v>137</v>
      </c>
      <c r="B123" t="s">
        <v>18</v>
      </c>
      <c r="C123">
        <v>-0.04</v>
      </c>
      <c r="D123" s="2">
        <v>101</v>
      </c>
      <c r="E123" t="s">
        <v>160</v>
      </c>
      <c r="F123" t="s">
        <v>53</v>
      </c>
      <c r="G123" t="s">
        <v>167</v>
      </c>
      <c r="H123">
        <v>0</v>
      </c>
      <c r="I123" s="13">
        <v>1</v>
      </c>
      <c r="J123" s="2">
        <v>2</v>
      </c>
      <c r="K123">
        <v>2</v>
      </c>
      <c r="L123" s="2">
        <f t="shared" si="8"/>
        <v>0</v>
      </c>
      <c r="M123">
        <v>5</v>
      </c>
      <c r="N123">
        <v>4</v>
      </c>
      <c r="O123">
        <f t="shared" si="9"/>
        <v>-1</v>
      </c>
      <c r="P123">
        <v>3</v>
      </c>
      <c r="Q123">
        <v>3</v>
      </c>
      <c r="R123">
        <f t="shared" si="10"/>
        <v>0</v>
      </c>
      <c r="S123">
        <v>3</v>
      </c>
      <c r="T123">
        <v>3</v>
      </c>
      <c r="U123">
        <f t="shared" si="11"/>
        <v>0</v>
      </c>
      <c r="V123">
        <v>1</v>
      </c>
      <c r="W123">
        <v>1</v>
      </c>
      <c r="X123">
        <f t="shared" si="12"/>
        <v>0</v>
      </c>
      <c r="Y123" s="2">
        <v>0</v>
      </c>
      <c r="Z123" s="2">
        <v>1</v>
      </c>
      <c r="AA123" s="2">
        <v>0</v>
      </c>
      <c r="AB123">
        <f t="shared" si="14"/>
        <v>1</v>
      </c>
      <c r="AC123" s="2">
        <v>1</v>
      </c>
      <c r="AD123" s="2">
        <v>1</v>
      </c>
      <c r="AE123" s="2">
        <v>0</v>
      </c>
      <c r="AF123" s="2">
        <v>1</v>
      </c>
      <c r="AG123" s="2">
        <v>0</v>
      </c>
      <c r="AH123" s="2">
        <v>0</v>
      </c>
      <c r="AI123" s="2">
        <v>1</v>
      </c>
      <c r="AJ123" s="2">
        <v>1</v>
      </c>
      <c r="AK123">
        <f t="shared" si="13"/>
        <v>0</v>
      </c>
      <c r="AL123" t="s">
        <v>136</v>
      </c>
    </row>
    <row r="124" spans="1:38" x14ac:dyDescent="0.35">
      <c r="A124">
        <v>138</v>
      </c>
      <c r="B124" t="s">
        <v>18</v>
      </c>
      <c r="C124">
        <v>-0.04</v>
      </c>
      <c r="D124" s="2">
        <v>96</v>
      </c>
      <c r="E124" t="s">
        <v>160</v>
      </c>
      <c r="F124" t="s">
        <v>55</v>
      </c>
      <c r="G124" t="s">
        <v>166</v>
      </c>
      <c r="H124">
        <v>0</v>
      </c>
      <c r="I124" s="13">
        <v>0</v>
      </c>
      <c r="J124" s="2">
        <v>4</v>
      </c>
      <c r="K124">
        <v>4</v>
      </c>
      <c r="L124" s="2">
        <f t="shared" si="8"/>
        <v>0</v>
      </c>
      <c r="M124">
        <v>6</v>
      </c>
      <c r="N124">
        <v>6</v>
      </c>
      <c r="O124">
        <f t="shared" si="9"/>
        <v>0</v>
      </c>
      <c r="P124">
        <v>1</v>
      </c>
      <c r="Q124">
        <v>1</v>
      </c>
      <c r="R124">
        <f t="shared" si="10"/>
        <v>0</v>
      </c>
      <c r="S124">
        <v>1</v>
      </c>
      <c r="T124">
        <v>1</v>
      </c>
      <c r="U124">
        <f t="shared" si="11"/>
        <v>0</v>
      </c>
      <c r="V124">
        <v>0</v>
      </c>
      <c r="W124">
        <v>1</v>
      </c>
      <c r="X124">
        <f t="shared" si="12"/>
        <v>1</v>
      </c>
      <c r="Y124" s="2">
        <v>0</v>
      </c>
      <c r="Z124" s="2">
        <v>0</v>
      </c>
      <c r="AA124" s="2">
        <v>0</v>
      </c>
      <c r="AB124">
        <f t="shared" si="14"/>
        <v>0</v>
      </c>
      <c r="AC124" s="2">
        <v>0</v>
      </c>
      <c r="AD124" s="2">
        <v>0</v>
      </c>
      <c r="AE124" s="2">
        <v>0</v>
      </c>
      <c r="AF124" s="2">
        <v>0</v>
      </c>
      <c r="AG124" s="2">
        <v>0</v>
      </c>
      <c r="AH124" s="2">
        <v>0</v>
      </c>
      <c r="AI124" s="2">
        <v>0</v>
      </c>
      <c r="AJ124" s="2">
        <v>0</v>
      </c>
      <c r="AK124">
        <f t="shared" si="13"/>
        <v>1</v>
      </c>
      <c r="AL124" t="s">
        <v>140</v>
      </c>
    </row>
    <row r="125" spans="1:38" x14ac:dyDescent="0.35">
      <c r="A125">
        <v>139</v>
      </c>
      <c r="B125" t="s">
        <v>16</v>
      </c>
      <c r="C125">
        <v>1.61</v>
      </c>
      <c r="D125" s="2">
        <v>7</v>
      </c>
      <c r="E125" t="s">
        <v>52</v>
      </c>
      <c r="F125" t="s">
        <v>56</v>
      </c>
      <c r="G125" t="s">
        <v>167</v>
      </c>
      <c r="H125">
        <v>0</v>
      </c>
      <c r="I125" s="13">
        <v>1</v>
      </c>
      <c r="J125" s="2">
        <v>9</v>
      </c>
      <c r="K125">
        <v>8</v>
      </c>
      <c r="L125" s="2">
        <f t="shared" si="8"/>
        <v>-1</v>
      </c>
      <c r="M125">
        <v>9</v>
      </c>
      <c r="N125">
        <v>6</v>
      </c>
      <c r="O125">
        <f t="shared" si="9"/>
        <v>-3</v>
      </c>
      <c r="P125">
        <v>3</v>
      </c>
      <c r="Q125">
        <v>3</v>
      </c>
      <c r="R125">
        <f t="shared" si="10"/>
        <v>0</v>
      </c>
      <c r="S125">
        <v>2</v>
      </c>
      <c r="T125">
        <v>1</v>
      </c>
      <c r="U125">
        <f t="shared" si="11"/>
        <v>-1</v>
      </c>
      <c r="V125">
        <v>1</v>
      </c>
      <c r="W125">
        <v>2</v>
      </c>
      <c r="X125">
        <f t="shared" si="12"/>
        <v>1</v>
      </c>
      <c r="Y125" s="2">
        <v>0</v>
      </c>
      <c r="Z125" s="2">
        <v>0</v>
      </c>
      <c r="AA125" s="2">
        <v>0</v>
      </c>
      <c r="AB125">
        <f t="shared" si="14"/>
        <v>0</v>
      </c>
      <c r="AC125" s="2">
        <v>1</v>
      </c>
      <c r="AD125" s="2">
        <v>1</v>
      </c>
      <c r="AE125" s="2">
        <v>0</v>
      </c>
      <c r="AF125" s="2">
        <v>1</v>
      </c>
      <c r="AG125" s="2">
        <v>0</v>
      </c>
      <c r="AH125" s="2">
        <v>0</v>
      </c>
      <c r="AI125" s="2">
        <v>1</v>
      </c>
      <c r="AJ125" s="2">
        <v>1</v>
      </c>
      <c r="AK125">
        <f t="shared" si="13"/>
        <v>0</v>
      </c>
      <c r="AL125" t="s">
        <v>6</v>
      </c>
    </row>
    <row r="126" spans="1:38" x14ac:dyDescent="0.35">
      <c r="A126">
        <v>140</v>
      </c>
      <c r="B126" t="s">
        <v>16</v>
      </c>
      <c r="C126">
        <v>1.61</v>
      </c>
      <c r="D126" s="2">
        <v>7</v>
      </c>
      <c r="E126" t="s">
        <v>52</v>
      </c>
      <c r="F126" t="s">
        <v>53</v>
      </c>
      <c r="G126" t="s">
        <v>167</v>
      </c>
      <c r="H126">
        <v>0</v>
      </c>
      <c r="I126" s="13">
        <v>0.25</v>
      </c>
      <c r="J126" s="2">
        <v>4</v>
      </c>
      <c r="K126">
        <v>4</v>
      </c>
      <c r="L126" s="2">
        <f t="shared" si="8"/>
        <v>0</v>
      </c>
      <c r="M126">
        <v>9</v>
      </c>
      <c r="N126">
        <v>9</v>
      </c>
      <c r="O126">
        <f t="shared" si="9"/>
        <v>0</v>
      </c>
      <c r="P126">
        <v>3</v>
      </c>
      <c r="Q126">
        <v>3</v>
      </c>
      <c r="R126">
        <f t="shared" si="10"/>
        <v>0</v>
      </c>
      <c r="S126">
        <v>2</v>
      </c>
      <c r="T126">
        <v>3</v>
      </c>
      <c r="U126">
        <f t="shared" si="11"/>
        <v>1</v>
      </c>
      <c r="V126">
        <v>2</v>
      </c>
      <c r="W126">
        <v>2</v>
      </c>
      <c r="X126">
        <f t="shared" si="12"/>
        <v>0</v>
      </c>
      <c r="Y126" s="2">
        <v>0</v>
      </c>
      <c r="Z126" s="2">
        <v>0</v>
      </c>
      <c r="AA126" s="2">
        <v>0</v>
      </c>
      <c r="AB126">
        <f t="shared" si="14"/>
        <v>0</v>
      </c>
      <c r="AC126" s="2">
        <v>1</v>
      </c>
      <c r="AD126" s="2">
        <v>0</v>
      </c>
      <c r="AE126" s="2">
        <v>0</v>
      </c>
      <c r="AF126" s="2">
        <v>0</v>
      </c>
      <c r="AG126" s="2">
        <v>0</v>
      </c>
      <c r="AH126" s="2">
        <v>0</v>
      </c>
      <c r="AI126" s="2">
        <v>0</v>
      </c>
      <c r="AJ126" s="2">
        <v>0</v>
      </c>
      <c r="AK126">
        <f t="shared" si="13"/>
        <v>0</v>
      </c>
      <c r="AL126" t="s">
        <v>138</v>
      </c>
    </row>
    <row r="127" spans="1:38" x14ac:dyDescent="0.35">
      <c r="A127">
        <v>141</v>
      </c>
      <c r="B127" t="s">
        <v>16</v>
      </c>
      <c r="C127">
        <v>1.61</v>
      </c>
      <c r="D127" s="2">
        <v>17</v>
      </c>
      <c r="E127" t="s">
        <v>52</v>
      </c>
      <c r="F127" t="s">
        <v>53</v>
      </c>
      <c r="G127" t="s">
        <v>166</v>
      </c>
      <c r="H127">
        <v>0</v>
      </c>
      <c r="I127" s="13">
        <v>0.5</v>
      </c>
      <c r="J127" s="2">
        <v>3</v>
      </c>
      <c r="K127">
        <v>1</v>
      </c>
      <c r="L127" s="2">
        <f t="shared" si="8"/>
        <v>-2</v>
      </c>
      <c r="M127">
        <v>8</v>
      </c>
      <c r="N127">
        <v>3</v>
      </c>
      <c r="O127">
        <f t="shared" si="9"/>
        <v>-5</v>
      </c>
      <c r="P127">
        <v>1</v>
      </c>
      <c r="Q127">
        <v>1</v>
      </c>
      <c r="R127">
        <f t="shared" si="10"/>
        <v>0</v>
      </c>
      <c r="S127">
        <v>3</v>
      </c>
      <c r="T127">
        <v>4</v>
      </c>
      <c r="U127">
        <f t="shared" si="11"/>
        <v>1</v>
      </c>
      <c r="V127">
        <v>2</v>
      </c>
      <c r="W127">
        <v>2</v>
      </c>
      <c r="X127">
        <f t="shared" si="12"/>
        <v>0</v>
      </c>
      <c r="Y127" s="2">
        <v>1</v>
      </c>
      <c r="Z127" s="2">
        <v>1</v>
      </c>
      <c r="AA127" s="2">
        <v>0</v>
      </c>
      <c r="AB127">
        <f t="shared" si="14"/>
        <v>1</v>
      </c>
      <c r="AC127" s="2">
        <v>1</v>
      </c>
      <c r="AD127" s="2">
        <v>1</v>
      </c>
      <c r="AE127" s="2">
        <v>0</v>
      </c>
      <c r="AF127" s="2">
        <v>1</v>
      </c>
      <c r="AG127" s="2">
        <v>0</v>
      </c>
      <c r="AH127" s="2">
        <v>0</v>
      </c>
      <c r="AI127" s="2">
        <v>0</v>
      </c>
      <c r="AJ127" s="2">
        <v>1</v>
      </c>
      <c r="AK127">
        <f t="shared" si="13"/>
        <v>0</v>
      </c>
      <c r="AL127" t="s">
        <v>6</v>
      </c>
    </row>
    <row r="128" spans="1:38" x14ac:dyDescent="0.35">
      <c r="A128">
        <v>142</v>
      </c>
      <c r="B128" t="s">
        <v>18</v>
      </c>
      <c r="C128">
        <v>-0.04</v>
      </c>
      <c r="D128" s="2">
        <v>103</v>
      </c>
      <c r="E128" t="s">
        <v>62</v>
      </c>
      <c r="F128" t="s">
        <v>53</v>
      </c>
      <c r="G128" t="s">
        <v>166</v>
      </c>
      <c r="H128">
        <v>0</v>
      </c>
      <c r="I128" s="13">
        <v>0.25</v>
      </c>
      <c r="J128" s="2">
        <v>1</v>
      </c>
      <c r="K128">
        <v>2</v>
      </c>
      <c r="L128" s="2">
        <f t="shared" si="8"/>
        <v>1</v>
      </c>
      <c r="M128">
        <v>2</v>
      </c>
      <c r="N128">
        <v>4</v>
      </c>
      <c r="O128">
        <f t="shared" si="9"/>
        <v>2</v>
      </c>
      <c r="P128">
        <v>1</v>
      </c>
      <c r="Q128">
        <v>2</v>
      </c>
      <c r="R128">
        <f t="shared" si="10"/>
        <v>1</v>
      </c>
      <c r="S128">
        <v>2</v>
      </c>
      <c r="T128">
        <v>2</v>
      </c>
      <c r="U128">
        <f t="shared" si="11"/>
        <v>0</v>
      </c>
      <c r="V128">
        <v>2</v>
      </c>
      <c r="W128">
        <v>1</v>
      </c>
      <c r="X128">
        <f t="shared" si="12"/>
        <v>-1</v>
      </c>
      <c r="Y128" s="2">
        <v>0</v>
      </c>
      <c r="Z128" s="2">
        <v>0</v>
      </c>
      <c r="AA128" s="2">
        <v>0</v>
      </c>
      <c r="AB128">
        <f t="shared" si="14"/>
        <v>0</v>
      </c>
      <c r="AC128" s="2">
        <v>0</v>
      </c>
      <c r="AD128" s="2">
        <v>1</v>
      </c>
      <c r="AE128" s="2">
        <v>0</v>
      </c>
      <c r="AF128" s="2">
        <v>1</v>
      </c>
      <c r="AG128" s="2">
        <v>1</v>
      </c>
      <c r="AH128" s="2">
        <v>1</v>
      </c>
      <c r="AI128" s="2">
        <v>1</v>
      </c>
      <c r="AJ128" s="2">
        <v>0</v>
      </c>
      <c r="AK128">
        <f t="shared" si="13"/>
        <v>0</v>
      </c>
      <c r="AL128" t="s">
        <v>47</v>
      </c>
    </row>
    <row r="129" spans="1:38" x14ac:dyDescent="0.35">
      <c r="A129">
        <v>143</v>
      </c>
      <c r="B129" t="s">
        <v>18</v>
      </c>
      <c r="C129">
        <v>-0.04</v>
      </c>
      <c r="D129" s="2">
        <v>103</v>
      </c>
      <c r="E129" t="s">
        <v>62</v>
      </c>
      <c r="F129" t="s">
        <v>53</v>
      </c>
      <c r="G129" t="s">
        <v>166</v>
      </c>
      <c r="H129">
        <v>0</v>
      </c>
      <c r="I129" s="13">
        <v>0</v>
      </c>
      <c r="J129" s="2">
        <v>2</v>
      </c>
      <c r="K129">
        <v>3</v>
      </c>
      <c r="L129" s="2">
        <f t="shared" si="8"/>
        <v>1</v>
      </c>
      <c r="M129">
        <v>1</v>
      </c>
      <c r="N129">
        <v>1</v>
      </c>
      <c r="O129">
        <f t="shared" si="9"/>
        <v>0</v>
      </c>
      <c r="P129">
        <v>2</v>
      </c>
      <c r="Q129">
        <v>2</v>
      </c>
      <c r="R129">
        <f t="shared" si="10"/>
        <v>0</v>
      </c>
      <c r="S129">
        <v>1</v>
      </c>
      <c r="T129">
        <v>1</v>
      </c>
      <c r="U129">
        <f t="shared" si="11"/>
        <v>0</v>
      </c>
      <c r="V129">
        <v>1</v>
      </c>
      <c r="W129">
        <v>1</v>
      </c>
      <c r="X129">
        <f t="shared" si="12"/>
        <v>0</v>
      </c>
      <c r="Y129" s="2">
        <v>1</v>
      </c>
      <c r="Z129" s="2">
        <v>0</v>
      </c>
      <c r="AA129" s="2">
        <v>0</v>
      </c>
      <c r="AB129">
        <f t="shared" si="14"/>
        <v>0</v>
      </c>
      <c r="AC129" s="2">
        <v>0</v>
      </c>
      <c r="AD129" s="2">
        <v>1</v>
      </c>
      <c r="AE129" s="2">
        <v>0</v>
      </c>
      <c r="AF129" s="2">
        <v>1</v>
      </c>
      <c r="AG129" s="2">
        <v>0</v>
      </c>
      <c r="AH129" s="2">
        <v>1</v>
      </c>
      <c r="AI129" s="2">
        <v>1</v>
      </c>
      <c r="AJ129" s="2">
        <v>0</v>
      </c>
      <c r="AK129">
        <f t="shared" si="13"/>
        <v>0</v>
      </c>
      <c r="AL129" t="s">
        <v>9</v>
      </c>
    </row>
    <row r="130" spans="1:38" x14ac:dyDescent="0.35">
      <c r="A130">
        <v>144</v>
      </c>
      <c r="B130" t="s">
        <v>127</v>
      </c>
      <c r="C130" s="9">
        <v>1.81</v>
      </c>
      <c r="D130" s="2">
        <v>56</v>
      </c>
      <c r="E130" t="s">
        <v>61</v>
      </c>
      <c r="F130" t="s">
        <v>53</v>
      </c>
      <c r="G130" t="s">
        <v>166</v>
      </c>
      <c r="H130">
        <v>0</v>
      </c>
      <c r="I130" s="13">
        <v>0.25</v>
      </c>
      <c r="J130" s="2">
        <v>3</v>
      </c>
      <c r="K130">
        <v>3</v>
      </c>
      <c r="L130" s="2">
        <f t="shared" si="8"/>
        <v>0</v>
      </c>
      <c r="M130">
        <v>7</v>
      </c>
      <c r="N130">
        <v>7</v>
      </c>
      <c r="O130">
        <f t="shared" si="9"/>
        <v>0</v>
      </c>
      <c r="P130">
        <v>3</v>
      </c>
      <c r="Q130">
        <v>3</v>
      </c>
      <c r="R130">
        <f t="shared" si="10"/>
        <v>0</v>
      </c>
      <c r="S130">
        <v>3</v>
      </c>
      <c r="T130">
        <v>2</v>
      </c>
      <c r="U130">
        <f t="shared" si="11"/>
        <v>-1</v>
      </c>
      <c r="V130">
        <v>1</v>
      </c>
      <c r="W130">
        <v>1</v>
      </c>
      <c r="X130">
        <f t="shared" si="12"/>
        <v>0</v>
      </c>
      <c r="Y130" s="2">
        <v>0</v>
      </c>
      <c r="Z130" s="2">
        <v>0</v>
      </c>
      <c r="AA130" s="2">
        <v>0</v>
      </c>
      <c r="AB130">
        <f t="shared" si="14"/>
        <v>0</v>
      </c>
      <c r="AC130" s="2">
        <v>0</v>
      </c>
      <c r="AD130" s="2">
        <v>1</v>
      </c>
      <c r="AE130" s="2">
        <v>0</v>
      </c>
      <c r="AF130" s="2">
        <v>1</v>
      </c>
      <c r="AG130" s="2">
        <v>0</v>
      </c>
      <c r="AH130" s="2">
        <v>0</v>
      </c>
      <c r="AI130" s="2">
        <v>0</v>
      </c>
      <c r="AJ130" s="2">
        <v>1</v>
      </c>
      <c r="AK130">
        <f t="shared" si="13"/>
        <v>0</v>
      </c>
      <c r="AL130" t="s">
        <v>43</v>
      </c>
    </row>
    <row r="131" spans="1:38" x14ac:dyDescent="0.35">
      <c r="A131">
        <v>145</v>
      </c>
      <c r="B131" t="s">
        <v>16</v>
      </c>
      <c r="C131">
        <v>1.61</v>
      </c>
      <c r="D131" s="5">
        <v>7</v>
      </c>
      <c r="E131" t="s">
        <v>160</v>
      </c>
      <c r="F131" t="s">
        <v>59</v>
      </c>
      <c r="G131" t="s">
        <v>166</v>
      </c>
      <c r="H131">
        <v>0</v>
      </c>
      <c r="I131" s="13">
        <v>0.75</v>
      </c>
      <c r="J131" s="2">
        <v>13</v>
      </c>
      <c r="K131">
        <v>12</v>
      </c>
      <c r="L131" s="2">
        <f t="shared" ref="L131:L194" si="15">K131-J131</f>
        <v>-1</v>
      </c>
      <c r="M131">
        <v>9</v>
      </c>
      <c r="N131">
        <v>6</v>
      </c>
      <c r="O131">
        <f t="shared" ref="O131:O194" si="16">N131-M131</f>
        <v>-3</v>
      </c>
      <c r="P131">
        <v>3</v>
      </c>
      <c r="Q131">
        <v>3</v>
      </c>
      <c r="R131">
        <f t="shared" ref="R131:R194" si="17">Q131-P131</f>
        <v>0</v>
      </c>
      <c r="S131">
        <v>2</v>
      </c>
      <c r="T131">
        <v>1</v>
      </c>
      <c r="U131">
        <f t="shared" ref="U131:U194" si="18">T131-S131</f>
        <v>-1</v>
      </c>
      <c r="V131">
        <v>2</v>
      </c>
      <c r="W131">
        <v>1</v>
      </c>
      <c r="X131">
        <f t="shared" ref="X131:X194" si="19">W131-V131</f>
        <v>-1</v>
      </c>
      <c r="Y131" s="2">
        <v>0</v>
      </c>
      <c r="Z131" s="2">
        <v>0</v>
      </c>
      <c r="AA131" s="2">
        <v>1</v>
      </c>
      <c r="AB131">
        <f t="shared" si="14"/>
        <v>1</v>
      </c>
      <c r="AC131" s="2">
        <v>0</v>
      </c>
      <c r="AD131" s="2">
        <v>1</v>
      </c>
      <c r="AE131" s="2">
        <v>0</v>
      </c>
      <c r="AF131" s="2">
        <v>1</v>
      </c>
      <c r="AG131" s="2">
        <v>0</v>
      </c>
      <c r="AH131" s="2">
        <v>1</v>
      </c>
      <c r="AI131" s="2">
        <v>1</v>
      </c>
      <c r="AJ131" s="2">
        <v>1</v>
      </c>
      <c r="AK131">
        <f t="shared" ref="AK131:AK194" si="20">IF(Y131+Z131+AA131+AC131+AD131+AE131+AF131+AG131+AH131+AI131+AJ131=0,1,0)</f>
        <v>0</v>
      </c>
      <c r="AL131" s="9" t="s">
        <v>39</v>
      </c>
    </row>
    <row r="132" spans="1:38" x14ac:dyDescent="0.35">
      <c r="A132">
        <v>147</v>
      </c>
      <c r="B132" t="s">
        <v>18</v>
      </c>
      <c r="C132">
        <v>-0.04</v>
      </c>
      <c r="D132" s="2">
        <v>13</v>
      </c>
      <c r="E132" t="s">
        <v>62</v>
      </c>
      <c r="F132" t="s">
        <v>59</v>
      </c>
      <c r="G132" t="s">
        <v>166</v>
      </c>
      <c r="H132">
        <v>0</v>
      </c>
      <c r="I132" s="13">
        <v>0.25</v>
      </c>
      <c r="J132" s="2">
        <v>1</v>
      </c>
      <c r="K132">
        <v>1</v>
      </c>
      <c r="L132" s="2">
        <f t="shared" si="15"/>
        <v>0</v>
      </c>
      <c r="M132">
        <v>2</v>
      </c>
      <c r="N132">
        <v>2</v>
      </c>
      <c r="O132">
        <f t="shared" si="16"/>
        <v>0</v>
      </c>
      <c r="P132">
        <v>1</v>
      </c>
      <c r="Q132">
        <v>1</v>
      </c>
      <c r="R132">
        <f t="shared" si="17"/>
        <v>0</v>
      </c>
      <c r="S132">
        <v>1</v>
      </c>
      <c r="T132">
        <v>1</v>
      </c>
      <c r="U132">
        <f t="shared" si="18"/>
        <v>0</v>
      </c>
      <c r="Y132" s="2">
        <v>0</v>
      </c>
      <c r="Z132" s="2">
        <v>1</v>
      </c>
      <c r="AA132" s="2">
        <v>0</v>
      </c>
      <c r="AB132">
        <f t="shared" si="14"/>
        <v>1</v>
      </c>
      <c r="AC132" s="2">
        <v>0</v>
      </c>
      <c r="AD132" s="2">
        <v>1</v>
      </c>
      <c r="AE132" s="2">
        <v>0</v>
      </c>
      <c r="AF132" s="2">
        <v>1</v>
      </c>
      <c r="AG132" s="2">
        <v>1</v>
      </c>
      <c r="AH132" s="2">
        <v>1</v>
      </c>
      <c r="AI132" s="2">
        <v>1</v>
      </c>
      <c r="AJ132" s="2">
        <v>0</v>
      </c>
      <c r="AK132">
        <f t="shared" si="20"/>
        <v>0</v>
      </c>
      <c r="AL132" t="s">
        <v>136</v>
      </c>
    </row>
    <row r="133" spans="1:38" x14ac:dyDescent="0.35">
      <c r="A133">
        <v>148</v>
      </c>
      <c r="B133" t="s">
        <v>127</v>
      </c>
      <c r="C133" s="9">
        <v>1.81</v>
      </c>
      <c r="D133" s="2">
        <v>89</v>
      </c>
      <c r="E133" t="s">
        <v>61</v>
      </c>
      <c r="F133" t="s">
        <v>53</v>
      </c>
      <c r="G133" t="s">
        <v>166</v>
      </c>
      <c r="H133">
        <v>0</v>
      </c>
      <c r="I133" s="13">
        <v>0.25</v>
      </c>
      <c r="J133" s="2">
        <v>3</v>
      </c>
      <c r="K133">
        <v>3</v>
      </c>
      <c r="L133" s="2">
        <f t="shared" si="15"/>
        <v>0</v>
      </c>
      <c r="M133">
        <v>8</v>
      </c>
      <c r="N133">
        <v>8</v>
      </c>
      <c r="O133">
        <f t="shared" si="16"/>
        <v>0</v>
      </c>
      <c r="P133">
        <v>1</v>
      </c>
      <c r="Q133">
        <v>1</v>
      </c>
      <c r="R133">
        <f t="shared" si="17"/>
        <v>0</v>
      </c>
      <c r="S133">
        <v>1</v>
      </c>
      <c r="T133">
        <v>2</v>
      </c>
      <c r="U133">
        <f t="shared" si="18"/>
        <v>1</v>
      </c>
      <c r="V133">
        <v>0</v>
      </c>
      <c r="W133">
        <v>0</v>
      </c>
      <c r="X133">
        <f t="shared" si="19"/>
        <v>0</v>
      </c>
      <c r="Y133" s="2">
        <v>0</v>
      </c>
      <c r="Z133" s="2">
        <v>0</v>
      </c>
      <c r="AA133" s="2">
        <v>0</v>
      </c>
      <c r="AB133">
        <f t="shared" si="14"/>
        <v>0</v>
      </c>
      <c r="AC133" s="2">
        <v>0</v>
      </c>
      <c r="AD133" s="2">
        <v>0</v>
      </c>
      <c r="AE133" s="2">
        <v>0</v>
      </c>
      <c r="AF133" s="2">
        <v>1</v>
      </c>
      <c r="AG133" s="2">
        <v>0</v>
      </c>
      <c r="AH133" s="2">
        <v>0</v>
      </c>
      <c r="AI133" s="2">
        <v>0</v>
      </c>
      <c r="AJ133" s="2">
        <v>1</v>
      </c>
      <c r="AK133">
        <f t="shared" si="20"/>
        <v>0</v>
      </c>
      <c r="AL133" t="s">
        <v>43</v>
      </c>
    </row>
    <row r="134" spans="1:38" x14ac:dyDescent="0.35">
      <c r="A134">
        <v>149</v>
      </c>
      <c r="B134" t="s">
        <v>18</v>
      </c>
      <c r="C134">
        <v>-0.04</v>
      </c>
      <c r="D134" s="2">
        <v>60</v>
      </c>
      <c r="E134" t="s">
        <v>62</v>
      </c>
      <c r="F134" t="s">
        <v>59</v>
      </c>
      <c r="G134" t="s">
        <v>166</v>
      </c>
      <c r="H134">
        <v>0</v>
      </c>
      <c r="I134" s="13">
        <v>0.25</v>
      </c>
      <c r="J134" s="2">
        <v>6</v>
      </c>
      <c r="K134">
        <v>6</v>
      </c>
      <c r="L134" s="2">
        <f t="shared" si="15"/>
        <v>0</v>
      </c>
      <c r="M134">
        <v>6</v>
      </c>
      <c r="N134">
        <v>5</v>
      </c>
      <c r="O134">
        <f t="shared" si="16"/>
        <v>-1</v>
      </c>
      <c r="P134">
        <v>2</v>
      </c>
      <c r="Q134">
        <v>2</v>
      </c>
      <c r="R134">
        <f t="shared" si="17"/>
        <v>0</v>
      </c>
      <c r="S134">
        <v>3</v>
      </c>
      <c r="T134">
        <v>2</v>
      </c>
      <c r="U134">
        <f t="shared" si="18"/>
        <v>-1</v>
      </c>
      <c r="V134">
        <v>2</v>
      </c>
      <c r="W134">
        <v>2</v>
      </c>
      <c r="X134">
        <f t="shared" si="19"/>
        <v>0</v>
      </c>
      <c r="Y134" s="2">
        <v>0</v>
      </c>
      <c r="Z134" s="2">
        <v>0</v>
      </c>
      <c r="AA134" s="2">
        <v>0</v>
      </c>
      <c r="AB134">
        <f t="shared" si="14"/>
        <v>0</v>
      </c>
      <c r="AC134" s="2">
        <v>0</v>
      </c>
      <c r="AD134" s="2">
        <v>1</v>
      </c>
      <c r="AE134" s="2">
        <v>0</v>
      </c>
      <c r="AF134" s="2">
        <v>1</v>
      </c>
      <c r="AG134" s="2">
        <v>0</v>
      </c>
      <c r="AH134" s="2">
        <v>0</v>
      </c>
      <c r="AI134" s="2">
        <v>1</v>
      </c>
      <c r="AJ134" s="2">
        <v>0</v>
      </c>
      <c r="AK134">
        <f t="shared" si="20"/>
        <v>0</v>
      </c>
      <c r="AL134" t="s">
        <v>6</v>
      </c>
    </row>
    <row r="135" spans="1:38" x14ac:dyDescent="0.35">
      <c r="A135">
        <v>150</v>
      </c>
      <c r="B135" t="s">
        <v>127</v>
      </c>
      <c r="C135" s="9">
        <v>1.81</v>
      </c>
      <c r="D135" s="2">
        <v>47</v>
      </c>
      <c r="E135" t="s">
        <v>61</v>
      </c>
      <c r="F135" t="s">
        <v>53</v>
      </c>
      <c r="G135" t="s">
        <v>167</v>
      </c>
      <c r="H135">
        <v>0</v>
      </c>
      <c r="I135" s="13">
        <v>0.25</v>
      </c>
      <c r="J135" s="2">
        <v>8</v>
      </c>
      <c r="K135">
        <v>8</v>
      </c>
      <c r="L135" s="2">
        <f t="shared" si="15"/>
        <v>0</v>
      </c>
      <c r="M135">
        <v>4</v>
      </c>
      <c r="N135">
        <v>4</v>
      </c>
      <c r="O135">
        <f t="shared" si="16"/>
        <v>0</v>
      </c>
      <c r="P135">
        <v>1</v>
      </c>
      <c r="Q135">
        <v>1</v>
      </c>
      <c r="R135">
        <f t="shared" si="17"/>
        <v>0</v>
      </c>
      <c r="S135">
        <v>1</v>
      </c>
      <c r="T135">
        <v>2</v>
      </c>
      <c r="U135">
        <f t="shared" si="18"/>
        <v>1</v>
      </c>
      <c r="V135">
        <v>1</v>
      </c>
      <c r="W135">
        <v>1</v>
      </c>
      <c r="X135">
        <f t="shared" si="19"/>
        <v>0</v>
      </c>
      <c r="Y135" s="2">
        <v>0</v>
      </c>
      <c r="Z135" s="2">
        <v>0</v>
      </c>
      <c r="AA135" s="2">
        <v>0</v>
      </c>
      <c r="AB135" s="2">
        <f t="shared" si="14"/>
        <v>0</v>
      </c>
      <c r="AC135" s="2">
        <v>0</v>
      </c>
      <c r="AD135" s="2">
        <v>1</v>
      </c>
      <c r="AE135" s="2">
        <v>0</v>
      </c>
      <c r="AF135" s="2">
        <v>1</v>
      </c>
      <c r="AG135" s="2">
        <v>0</v>
      </c>
      <c r="AH135" s="2">
        <v>1</v>
      </c>
      <c r="AI135" s="2">
        <v>1</v>
      </c>
      <c r="AJ135" s="2">
        <v>0</v>
      </c>
      <c r="AK135">
        <f t="shared" si="20"/>
        <v>0</v>
      </c>
      <c r="AL135" t="s">
        <v>6</v>
      </c>
    </row>
    <row r="136" spans="1:38" x14ac:dyDescent="0.35">
      <c r="A136">
        <v>151</v>
      </c>
      <c r="B136" t="s">
        <v>18</v>
      </c>
      <c r="C136">
        <v>-0.04</v>
      </c>
      <c r="D136" s="2">
        <v>138</v>
      </c>
      <c r="E136" t="s">
        <v>62</v>
      </c>
      <c r="F136" t="s">
        <v>55</v>
      </c>
      <c r="G136" t="s">
        <v>166</v>
      </c>
      <c r="H136">
        <v>0</v>
      </c>
      <c r="I136" s="13">
        <v>0.25</v>
      </c>
      <c r="J136" s="2">
        <v>3</v>
      </c>
      <c r="K136">
        <v>3</v>
      </c>
      <c r="L136" s="2">
        <f t="shared" si="15"/>
        <v>0</v>
      </c>
      <c r="M136">
        <v>6</v>
      </c>
      <c r="N136">
        <v>6</v>
      </c>
      <c r="O136">
        <f t="shared" si="16"/>
        <v>0</v>
      </c>
      <c r="P136">
        <v>1</v>
      </c>
      <c r="Q136">
        <v>1</v>
      </c>
      <c r="R136">
        <f t="shared" si="17"/>
        <v>0</v>
      </c>
      <c r="S136">
        <v>2</v>
      </c>
      <c r="T136">
        <v>2</v>
      </c>
      <c r="U136">
        <f t="shared" si="18"/>
        <v>0</v>
      </c>
      <c r="V136">
        <v>2</v>
      </c>
      <c r="W136">
        <v>2</v>
      </c>
      <c r="X136">
        <f t="shared" si="19"/>
        <v>0</v>
      </c>
      <c r="Y136" s="2">
        <v>0</v>
      </c>
      <c r="Z136" s="2">
        <v>1</v>
      </c>
      <c r="AA136" s="2">
        <v>0</v>
      </c>
      <c r="AB136" s="2">
        <f t="shared" si="14"/>
        <v>1</v>
      </c>
      <c r="AC136" s="2">
        <v>0</v>
      </c>
      <c r="AD136" s="2">
        <v>1</v>
      </c>
      <c r="AE136" s="2">
        <v>0</v>
      </c>
      <c r="AF136" s="2">
        <v>0</v>
      </c>
      <c r="AG136" s="2">
        <v>1</v>
      </c>
      <c r="AH136" s="2">
        <v>0</v>
      </c>
      <c r="AI136" s="2">
        <v>1</v>
      </c>
      <c r="AJ136" s="2">
        <v>0</v>
      </c>
      <c r="AK136">
        <f t="shared" si="20"/>
        <v>0</v>
      </c>
      <c r="AL136" t="s">
        <v>6</v>
      </c>
    </row>
    <row r="137" spans="1:38" x14ac:dyDescent="0.35">
      <c r="A137">
        <v>152</v>
      </c>
      <c r="B137" t="s">
        <v>18</v>
      </c>
      <c r="C137">
        <v>-0.04</v>
      </c>
      <c r="D137" s="2">
        <v>60</v>
      </c>
      <c r="E137" t="s">
        <v>52</v>
      </c>
      <c r="F137" t="s">
        <v>59</v>
      </c>
      <c r="G137" t="s">
        <v>167</v>
      </c>
      <c r="H137">
        <v>0</v>
      </c>
      <c r="I137" s="13">
        <v>0.25</v>
      </c>
      <c r="J137" s="2">
        <v>4</v>
      </c>
      <c r="K137">
        <v>5</v>
      </c>
      <c r="L137" s="2">
        <f t="shared" si="15"/>
        <v>1</v>
      </c>
      <c r="M137">
        <v>5</v>
      </c>
      <c r="N137">
        <v>5</v>
      </c>
      <c r="O137">
        <f t="shared" si="16"/>
        <v>0</v>
      </c>
      <c r="P137">
        <v>2</v>
      </c>
      <c r="Q137">
        <v>2</v>
      </c>
      <c r="R137">
        <f t="shared" si="17"/>
        <v>0</v>
      </c>
      <c r="S137">
        <v>2</v>
      </c>
      <c r="T137">
        <v>2</v>
      </c>
      <c r="U137">
        <f t="shared" si="18"/>
        <v>0</v>
      </c>
      <c r="V137">
        <v>1</v>
      </c>
      <c r="W137">
        <v>1</v>
      </c>
      <c r="X137">
        <f t="shared" si="19"/>
        <v>0</v>
      </c>
      <c r="Y137" s="2">
        <v>0</v>
      </c>
      <c r="Z137" s="2">
        <v>0</v>
      </c>
      <c r="AA137" s="2">
        <v>0</v>
      </c>
      <c r="AB137" s="2">
        <f t="shared" si="14"/>
        <v>0</v>
      </c>
      <c r="AC137" s="2">
        <v>0</v>
      </c>
      <c r="AD137" s="2">
        <v>0</v>
      </c>
      <c r="AE137" s="2">
        <v>0</v>
      </c>
      <c r="AF137" s="2">
        <v>0</v>
      </c>
      <c r="AG137" s="2">
        <v>0</v>
      </c>
      <c r="AH137" s="2">
        <v>0</v>
      </c>
      <c r="AI137" s="2">
        <v>0</v>
      </c>
      <c r="AJ137" s="2">
        <v>0</v>
      </c>
      <c r="AK137">
        <f t="shared" si="20"/>
        <v>1</v>
      </c>
      <c r="AL137" t="s">
        <v>140</v>
      </c>
    </row>
    <row r="138" spans="1:38" x14ac:dyDescent="0.35">
      <c r="A138">
        <v>153</v>
      </c>
      <c r="B138" t="s">
        <v>165</v>
      </c>
      <c r="C138">
        <v>1.47</v>
      </c>
      <c r="D138" s="2">
        <v>10</v>
      </c>
      <c r="E138" t="s">
        <v>162</v>
      </c>
      <c r="F138" t="s">
        <v>53</v>
      </c>
      <c r="G138" t="s">
        <v>167</v>
      </c>
      <c r="H138">
        <v>0</v>
      </c>
      <c r="I138" s="13">
        <v>0.25</v>
      </c>
      <c r="J138" s="2">
        <v>16</v>
      </c>
      <c r="K138">
        <v>14</v>
      </c>
      <c r="L138" s="2">
        <f t="shared" si="15"/>
        <v>-2</v>
      </c>
      <c r="M138">
        <v>6</v>
      </c>
      <c r="N138">
        <v>6</v>
      </c>
      <c r="O138">
        <f t="shared" si="16"/>
        <v>0</v>
      </c>
      <c r="P138">
        <v>2</v>
      </c>
      <c r="Q138">
        <v>2</v>
      </c>
      <c r="R138">
        <f t="shared" si="17"/>
        <v>0</v>
      </c>
      <c r="S138">
        <v>2</v>
      </c>
      <c r="T138">
        <v>2</v>
      </c>
      <c r="U138">
        <f t="shared" si="18"/>
        <v>0</v>
      </c>
      <c r="V138">
        <v>1</v>
      </c>
      <c r="W138">
        <v>1</v>
      </c>
      <c r="X138">
        <f t="shared" si="19"/>
        <v>0</v>
      </c>
      <c r="Y138" s="2">
        <v>0</v>
      </c>
      <c r="Z138" s="2">
        <v>0</v>
      </c>
      <c r="AA138" s="2">
        <v>0</v>
      </c>
      <c r="AB138" s="2">
        <f t="shared" si="14"/>
        <v>0</v>
      </c>
      <c r="AC138" s="2">
        <v>0</v>
      </c>
      <c r="AD138" s="2">
        <v>0</v>
      </c>
      <c r="AE138" s="2">
        <v>0</v>
      </c>
      <c r="AF138" s="2">
        <v>0</v>
      </c>
      <c r="AG138" s="2">
        <v>0</v>
      </c>
      <c r="AH138" s="2">
        <v>0</v>
      </c>
      <c r="AI138" s="2">
        <v>0</v>
      </c>
      <c r="AJ138" s="2">
        <v>0</v>
      </c>
      <c r="AK138">
        <f t="shared" si="20"/>
        <v>1</v>
      </c>
      <c r="AL138" t="s">
        <v>140</v>
      </c>
    </row>
    <row r="139" spans="1:38" x14ac:dyDescent="0.35">
      <c r="A139">
        <v>154</v>
      </c>
      <c r="B139" t="s">
        <v>14</v>
      </c>
      <c r="C139">
        <v>1.42</v>
      </c>
      <c r="D139" s="5">
        <v>4</v>
      </c>
      <c r="E139" t="s">
        <v>160</v>
      </c>
      <c r="F139" t="s">
        <v>55</v>
      </c>
      <c r="G139" t="s">
        <v>167</v>
      </c>
      <c r="H139">
        <v>0</v>
      </c>
      <c r="I139" s="13">
        <v>0</v>
      </c>
      <c r="J139" s="2">
        <v>2</v>
      </c>
      <c r="K139">
        <v>2</v>
      </c>
      <c r="L139" s="2">
        <f t="shared" si="15"/>
        <v>0</v>
      </c>
      <c r="M139">
        <v>10</v>
      </c>
      <c r="N139">
        <v>10</v>
      </c>
      <c r="O139">
        <f t="shared" si="16"/>
        <v>0</v>
      </c>
      <c r="P139">
        <v>1</v>
      </c>
      <c r="Q139">
        <v>1</v>
      </c>
      <c r="R139">
        <f t="shared" si="17"/>
        <v>0</v>
      </c>
      <c r="S139">
        <v>3</v>
      </c>
      <c r="T139">
        <v>3</v>
      </c>
      <c r="U139">
        <f t="shared" si="18"/>
        <v>0</v>
      </c>
      <c r="V139">
        <v>2</v>
      </c>
      <c r="W139">
        <v>2</v>
      </c>
      <c r="X139">
        <f t="shared" si="19"/>
        <v>0</v>
      </c>
      <c r="Y139" s="2">
        <v>0</v>
      </c>
      <c r="Z139" s="2">
        <v>0</v>
      </c>
      <c r="AA139" s="2">
        <v>0</v>
      </c>
      <c r="AB139" s="2">
        <f t="shared" si="14"/>
        <v>0</v>
      </c>
      <c r="AC139" s="2">
        <v>0</v>
      </c>
      <c r="AD139" s="2">
        <v>0</v>
      </c>
      <c r="AE139" s="2">
        <v>0</v>
      </c>
      <c r="AF139" s="2">
        <v>1</v>
      </c>
      <c r="AG139" s="2">
        <v>0</v>
      </c>
      <c r="AH139" s="2">
        <v>0</v>
      </c>
      <c r="AI139" s="2">
        <v>0</v>
      </c>
      <c r="AJ139" s="2">
        <v>1</v>
      </c>
      <c r="AK139">
        <f t="shared" si="20"/>
        <v>0</v>
      </c>
      <c r="AL139" s="9" t="s">
        <v>39</v>
      </c>
    </row>
    <row r="140" spans="1:38" x14ac:dyDescent="0.35">
      <c r="A140">
        <v>158</v>
      </c>
      <c r="B140" t="s">
        <v>18</v>
      </c>
      <c r="C140">
        <v>-0.04</v>
      </c>
      <c r="D140" s="2">
        <v>16</v>
      </c>
      <c r="E140" t="s">
        <v>62</v>
      </c>
      <c r="F140" t="s">
        <v>59</v>
      </c>
      <c r="G140" t="s">
        <v>167</v>
      </c>
      <c r="H140">
        <v>0</v>
      </c>
      <c r="I140" s="13">
        <v>0.5</v>
      </c>
      <c r="J140" s="2">
        <v>9</v>
      </c>
      <c r="K140">
        <v>12</v>
      </c>
      <c r="L140" s="2">
        <f t="shared" si="15"/>
        <v>3</v>
      </c>
      <c r="M140" s="9">
        <v>2</v>
      </c>
      <c r="N140" s="9">
        <v>6</v>
      </c>
      <c r="O140">
        <f t="shared" si="16"/>
        <v>4</v>
      </c>
      <c r="P140" s="9">
        <v>3</v>
      </c>
      <c r="Q140" s="9">
        <v>3</v>
      </c>
      <c r="R140">
        <f t="shared" si="17"/>
        <v>0</v>
      </c>
      <c r="S140">
        <v>3</v>
      </c>
      <c r="T140">
        <v>3</v>
      </c>
      <c r="U140">
        <f t="shared" si="18"/>
        <v>0</v>
      </c>
      <c r="V140">
        <v>1</v>
      </c>
      <c r="W140">
        <v>2</v>
      </c>
      <c r="X140">
        <f t="shared" si="19"/>
        <v>1</v>
      </c>
      <c r="Y140" s="2">
        <v>0</v>
      </c>
      <c r="Z140" s="2">
        <v>1</v>
      </c>
      <c r="AA140" s="2">
        <v>1</v>
      </c>
      <c r="AB140" s="2">
        <f t="shared" si="14"/>
        <v>1</v>
      </c>
      <c r="AC140" s="2">
        <v>1</v>
      </c>
      <c r="AD140" s="2">
        <v>1</v>
      </c>
      <c r="AE140" s="2">
        <v>0</v>
      </c>
      <c r="AF140" s="2">
        <v>1</v>
      </c>
      <c r="AG140" s="2">
        <v>0</v>
      </c>
      <c r="AH140" s="2">
        <v>0</v>
      </c>
      <c r="AI140" s="2">
        <v>1</v>
      </c>
      <c r="AJ140" s="2">
        <v>0</v>
      </c>
      <c r="AK140">
        <f t="shared" si="20"/>
        <v>0</v>
      </c>
      <c r="AL140" t="s">
        <v>138</v>
      </c>
    </row>
    <row r="141" spans="1:38" x14ac:dyDescent="0.35">
      <c r="A141">
        <v>159</v>
      </c>
      <c r="B141" t="s">
        <v>18</v>
      </c>
      <c r="C141">
        <v>-0.04</v>
      </c>
      <c r="D141" s="2">
        <v>93</v>
      </c>
      <c r="E141" t="s">
        <v>62</v>
      </c>
      <c r="F141" t="s">
        <v>53</v>
      </c>
      <c r="G141" t="s">
        <v>166</v>
      </c>
      <c r="H141">
        <v>0</v>
      </c>
      <c r="I141" s="13">
        <v>0.25</v>
      </c>
      <c r="J141" s="2">
        <v>2</v>
      </c>
      <c r="K141">
        <v>2</v>
      </c>
      <c r="L141" s="2">
        <f t="shared" si="15"/>
        <v>0</v>
      </c>
      <c r="M141" s="9">
        <v>8</v>
      </c>
      <c r="N141" s="9">
        <v>7</v>
      </c>
      <c r="O141">
        <f t="shared" si="16"/>
        <v>-1</v>
      </c>
      <c r="P141" s="9">
        <v>2</v>
      </c>
      <c r="Q141" s="9">
        <v>2</v>
      </c>
      <c r="R141">
        <f t="shared" si="17"/>
        <v>0</v>
      </c>
      <c r="S141">
        <v>2</v>
      </c>
      <c r="T141">
        <v>4</v>
      </c>
      <c r="U141">
        <f t="shared" si="18"/>
        <v>2</v>
      </c>
      <c r="V141">
        <v>2</v>
      </c>
      <c r="W141">
        <v>2</v>
      </c>
      <c r="X141">
        <f t="shared" si="19"/>
        <v>0</v>
      </c>
      <c r="Y141" s="2">
        <v>1</v>
      </c>
      <c r="Z141" s="2">
        <v>0</v>
      </c>
      <c r="AA141" s="2">
        <v>1</v>
      </c>
      <c r="AB141" s="2">
        <f t="shared" si="14"/>
        <v>1</v>
      </c>
      <c r="AC141" s="2">
        <v>0</v>
      </c>
      <c r="AD141" s="2">
        <v>1</v>
      </c>
      <c r="AE141" s="2">
        <v>0</v>
      </c>
      <c r="AF141" s="2">
        <v>1</v>
      </c>
      <c r="AG141" s="2">
        <v>0</v>
      </c>
      <c r="AH141" s="2">
        <v>1</v>
      </c>
      <c r="AI141" s="2">
        <v>1</v>
      </c>
      <c r="AJ141" s="2">
        <v>0</v>
      </c>
      <c r="AK141">
        <f t="shared" si="20"/>
        <v>0</v>
      </c>
      <c r="AL141" t="s">
        <v>9</v>
      </c>
    </row>
    <row r="142" spans="1:38" x14ac:dyDescent="0.35">
      <c r="A142">
        <v>160</v>
      </c>
      <c r="B142" t="s">
        <v>18</v>
      </c>
      <c r="C142">
        <v>-0.04</v>
      </c>
      <c r="D142" s="5">
        <v>92</v>
      </c>
      <c r="E142" t="s">
        <v>62</v>
      </c>
      <c r="F142" t="s">
        <v>56</v>
      </c>
      <c r="G142" t="s">
        <v>166</v>
      </c>
      <c r="H142">
        <v>0</v>
      </c>
      <c r="I142" s="13">
        <v>0.5</v>
      </c>
      <c r="J142" s="2">
        <v>5</v>
      </c>
      <c r="K142">
        <v>5</v>
      </c>
      <c r="L142" s="2">
        <f t="shared" si="15"/>
        <v>0</v>
      </c>
      <c r="M142" s="9">
        <v>3</v>
      </c>
      <c r="N142" s="9">
        <v>3</v>
      </c>
      <c r="O142">
        <f t="shared" si="16"/>
        <v>0</v>
      </c>
      <c r="P142" s="9">
        <v>2</v>
      </c>
      <c r="Q142" s="9">
        <v>2</v>
      </c>
      <c r="R142">
        <f t="shared" si="17"/>
        <v>0</v>
      </c>
      <c r="S142">
        <v>1</v>
      </c>
      <c r="T142">
        <v>1</v>
      </c>
      <c r="U142">
        <f t="shared" si="18"/>
        <v>0</v>
      </c>
      <c r="V142">
        <v>2</v>
      </c>
      <c r="W142">
        <v>1</v>
      </c>
      <c r="X142">
        <f t="shared" si="19"/>
        <v>-1</v>
      </c>
      <c r="Y142" s="2">
        <v>0</v>
      </c>
      <c r="Z142" s="2">
        <v>1</v>
      </c>
      <c r="AA142" s="2">
        <v>0</v>
      </c>
      <c r="AB142" s="2">
        <f t="shared" si="14"/>
        <v>1</v>
      </c>
      <c r="AC142" s="2">
        <v>0</v>
      </c>
      <c r="AD142" s="2">
        <v>1</v>
      </c>
      <c r="AE142" s="2">
        <v>0</v>
      </c>
      <c r="AF142" s="2">
        <v>1</v>
      </c>
      <c r="AG142" s="2">
        <v>0</v>
      </c>
      <c r="AH142" s="2">
        <v>0</v>
      </c>
      <c r="AI142" s="2">
        <v>1</v>
      </c>
      <c r="AJ142" s="2">
        <v>0</v>
      </c>
      <c r="AK142">
        <f t="shared" si="20"/>
        <v>0</v>
      </c>
      <c r="AL142" s="9" t="s">
        <v>39</v>
      </c>
    </row>
    <row r="143" spans="1:38" x14ac:dyDescent="0.35">
      <c r="A143">
        <v>161</v>
      </c>
      <c r="B143" t="s">
        <v>18</v>
      </c>
      <c r="C143">
        <v>-0.04</v>
      </c>
      <c r="D143" s="2">
        <v>100</v>
      </c>
      <c r="E143" t="s">
        <v>160</v>
      </c>
      <c r="F143" t="s">
        <v>59</v>
      </c>
      <c r="G143" t="s">
        <v>167</v>
      </c>
      <c r="H143">
        <v>0</v>
      </c>
      <c r="I143" s="13">
        <v>1</v>
      </c>
      <c r="J143" s="2">
        <v>2</v>
      </c>
      <c r="K143">
        <v>2</v>
      </c>
      <c r="L143" s="2">
        <f t="shared" si="15"/>
        <v>0</v>
      </c>
      <c r="M143" s="9">
        <v>5</v>
      </c>
      <c r="N143" s="9">
        <v>4</v>
      </c>
      <c r="O143">
        <f t="shared" si="16"/>
        <v>-1</v>
      </c>
      <c r="P143" s="9">
        <v>2</v>
      </c>
      <c r="Q143" s="9">
        <v>2</v>
      </c>
      <c r="R143">
        <f t="shared" si="17"/>
        <v>0</v>
      </c>
      <c r="S143">
        <v>1</v>
      </c>
      <c r="T143">
        <v>1</v>
      </c>
      <c r="U143">
        <f t="shared" si="18"/>
        <v>0</v>
      </c>
      <c r="V143">
        <v>1</v>
      </c>
      <c r="W143">
        <v>1</v>
      </c>
      <c r="X143">
        <f t="shared" si="19"/>
        <v>0</v>
      </c>
      <c r="Y143" s="2">
        <v>0</v>
      </c>
      <c r="Z143" s="2">
        <v>0</v>
      </c>
      <c r="AA143" s="2">
        <v>0</v>
      </c>
      <c r="AB143" s="2">
        <f t="shared" si="14"/>
        <v>0</v>
      </c>
      <c r="AC143" s="2">
        <v>0</v>
      </c>
      <c r="AD143" s="2">
        <v>0</v>
      </c>
      <c r="AE143" s="2">
        <v>0</v>
      </c>
      <c r="AF143" s="2">
        <v>1</v>
      </c>
      <c r="AG143" s="2">
        <v>0</v>
      </c>
      <c r="AH143" s="2">
        <v>0</v>
      </c>
      <c r="AI143" s="2">
        <v>1</v>
      </c>
      <c r="AJ143" s="2">
        <v>1</v>
      </c>
      <c r="AK143">
        <f t="shared" si="20"/>
        <v>0</v>
      </c>
      <c r="AL143" t="s">
        <v>43</v>
      </c>
    </row>
    <row r="144" spans="1:38" x14ac:dyDescent="0.35">
      <c r="A144">
        <v>163</v>
      </c>
      <c r="B144" t="s">
        <v>14</v>
      </c>
      <c r="C144">
        <v>1.42</v>
      </c>
      <c r="D144" s="2">
        <v>60</v>
      </c>
      <c r="E144" t="s">
        <v>160</v>
      </c>
      <c r="F144" t="s">
        <v>55</v>
      </c>
      <c r="G144" t="s">
        <v>166</v>
      </c>
      <c r="H144">
        <v>0</v>
      </c>
      <c r="I144" s="13">
        <v>0.5</v>
      </c>
      <c r="J144" s="2">
        <v>3</v>
      </c>
      <c r="K144">
        <v>2</v>
      </c>
      <c r="L144" s="2">
        <f t="shared" si="15"/>
        <v>-1</v>
      </c>
      <c r="M144" s="9">
        <v>8</v>
      </c>
      <c r="N144" s="9">
        <v>5</v>
      </c>
      <c r="O144">
        <f t="shared" si="16"/>
        <v>-3</v>
      </c>
      <c r="P144" s="9">
        <v>1</v>
      </c>
      <c r="Q144" s="9">
        <v>1</v>
      </c>
      <c r="R144">
        <f t="shared" si="17"/>
        <v>0</v>
      </c>
      <c r="S144">
        <v>3</v>
      </c>
      <c r="T144">
        <v>3</v>
      </c>
      <c r="U144">
        <f t="shared" si="18"/>
        <v>0</v>
      </c>
      <c r="V144">
        <v>0</v>
      </c>
      <c r="W144">
        <v>0</v>
      </c>
      <c r="X144">
        <f t="shared" si="19"/>
        <v>0</v>
      </c>
      <c r="Y144" s="2">
        <v>0</v>
      </c>
      <c r="Z144" s="2">
        <v>0</v>
      </c>
      <c r="AA144" s="2">
        <v>0</v>
      </c>
      <c r="AB144" s="2">
        <f t="shared" si="14"/>
        <v>0</v>
      </c>
      <c r="AC144" s="2">
        <v>0</v>
      </c>
      <c r="AD144" s="2">
        <v>0</v>
      </c>
      <c r="AE144" s="2">
        <v>0</v>
      </c>
      <c r="AF144" s="2">
        <v>1</v>
      </c>
      <c r="AG144" s="2">
        <v>0</v>
      </c>
      <c r="AH144" s="2">
        <v>0</v>
      </c>
      <c r="AI144" s="2">
        <v>1</v>
      </c>
      <c r="AJ144" s="2">
        <v>1</v>
      </c>
      <c r="AK144">
        <f t="shared" si="20"/>
        <v>0</v>
      </c>
      <c r="AL144" t="s">
        <v>9</v>
      </c>
    </row>
    <row r="145" spans="1:38" x14ac:dyDescent="0.35">
      <c r="A145">
        <v>164</v>
      </c>
      <c r="B145" t="s">
        <v>16</v>
      </c>
      <c r="C145">
        <v>1.61</v>
      </c>
      <c r="D145" s="2">
        <v>7</v>
      </c>
      <c r="E145" t="s">
        <v>162</v>
      </c>
      <c r="F145" t="s">
        <v>60</v>
      </c>
      <c r="G145" t="s">
        <v>167</v>
      </c>
      <c r="H145">
        <v>0</v>
      </c>
      <c r="I145" s="13">
        <v>0.5</v>
      </c>
      <c r="J145" s="2">
        <v>4</v>
      </c>
      <c r="K145">
        <v>4</v>
      </c>
      <c r="L145" s="2">
        <f t="shared" si="15"/>
        <v>0</v>
      </c>
      <c r="M145" s="9">
        <v>4</v>
      </c>
      <c r="N145" s="9">
        <v>2</v>
      </c>
      <c r="O145">
        <f t="shared" si="16"/>
        <v>-2</v>
      </c>
      <c r="P145" s="9">
        <v>2</v>
      </c>
      <c r="Q145" s="9">
        <v>2</v>
      </c>
      <c r="R145">
        <f t="shared" si="17"/>
        <v>0</v>
      </c>
      <c r="S145">
        <v>3</v>
      </c>
      <c r="T145">
        <v>2</v>
      </c>
      <c r="U145">
        <f t="shared" si="18"/>
        <v>-1</v>
      </c>
      <c r="V145">
        <v>1</v>
      </c>
      <c r="W145">
        <v>1</v>
      </c>
      <c r="X145">
        <f t="shared" si="19"/>
        <v>0</v>
      </c>
      <c r="Y145" s="2">
        <v>0</v>
      </c>
      <c r="Z145" s="2">
        <v>0</v>
      </c>
      <c r="AA145" s="2">
        <v>0</v>
      </c>
      <c r="AB145" s="2">
        <f t="shared" si="14"/>
        <v>0</v>
      </c>
      <c r="AC145" s="2">
        <v>0</v>
      </c>
      <c r="AD145" s="2">
        <v>0</v>
      </c>
      <c r="AE145" s="2">
        <v>0</v>
      </c>
      <c r="AF145" s="2">
        <v>1</v>
      </c>
      <c r="AG145" s="2">
        <v>0</v>
      </c>
      <c r="AH145" s="2">
        <v>0</v>
      </c>
      <c r="AI145" s="2">
        <v>0</v>
      </c>
      <c r="AJ145" s="2">
        <v>0</v>
      </c>
      <c r="AK145">
        <f t="shared" si="20"/>
        <v>0</v>
      </c>
      <c r="AL145" t="s">
        <v>140</v>
      </c>
    </row>
    <row r="146" spans="1:38" x14ac:dyDescent="0.35">
      <c r="A146">
        <v>165</v>
      </c>
      <c r="B146" t="s">
        <v>14</v>
      </c>
      <c r="C146">
        <v>1.42</v>
      </c>
      <c r="D146" s="2">
        <v>4</v>
      </c>
      <c r="E146" t="s">
        <v>160</v>
      </c>
      <c r="F146" t="s">
        <v>55</v>
      </c>
      <c r="G146" t="s">
        <v>167</v>
      </c>
      <c r="H146">
        <v>0</v>
      </c>
      <c r="I146" s="13">
        <v>1</v>
      </c>
      <c r="J146" s="2">
        <v>3</v>
      </c>
      <c r="K146">
        <v>3</v>
      </c>
      <c r="L146" s="2">
        <f t="shared" si="15"/>
        <v>0</v>
      </c>
      <c r="M146" s="9">
        <v>8</v>
      </c>
      <c r="N146" s="9">
        <v>4</v>
      </c>
      <c r="O146">
        <f t="shared" si="16"/>
        <v>-4</v>
      </c>
      <c r="P146" s="9">
        <v>1</v>
      </c>
      <c r="Q146" s="9">
        <v>1</v>
      </c>
      <c r="R146">
        <f t="shared" si="17"/>
        <v>0</v>
      </c>
      <c r="V146">
        <v>0</v>
      </c>
      <c r="W146">
        <v>0</v>
      </c>
      <c r="X146">
        <f t="shared" si="19"/>
        <v>0</v>
      </c>
      <c r="Y146" s="2">
        <v>0</v>
      </c>
      <c r="Z146" s="2">
        <v>1</v>
      </c>
      <c r="AA146" s="2">
        <v>1</v>
      </c>
      <c r="AB146" s="2">
        <f t="shared" si="14"/>
        <v>1</v>
      </c>
      <c r="AC146" s="2">
        <v>0</v>
      </c>
      <c r="AD146" s="2">
        <v>0</v>
      </c>
      <c r="AE146" s="2">
        <v>0</v>
      </c>
      <c r="AF146" s="2">
        <v>0</v>
      </c>
      <c r="AG146" s="2">
        <v>0</v>
      </c>
      <c r="AH146" s="2">
        <v>0</v>
      </c>
      <c r="AI146" s="2">
        <v>1</v>
      </c>
      <c r="AJ146" s="2">
        <v>1</v>
      </c>
      <c r="AK146">
        <f t="shared" si="20"/>
        <v>0</v>
      </c>
      <c r="AL146" t="s">
        <v>137</v>
      </c>
    </row>
    <row r="147" spans="1:38" x14ac:dyDescent="0.35">
      <c r="A147">
        <v>166</v>
      </c>
      <c r="B147" t="s">
        <v>127</v>
      </c>
      <c r="C147" s="9">
        <v>1.81</v>
      </c>
      <c r="D147" s="2">
        <v>12</v>
      </c>
      <c r="E147" t="s">
        <v>61</v>
      </c>
      <c r="F147" t="s">
        <v>59</v>
      </c>
      <c r="G147" t="s">
        <v>166</v>
      </c>
      <c r="H147">
        <v>0</v>
      </c>
      <c r="I147" s="13">
        <v>0.5</v>
      </c>
      <c r="J147" s="2">
        <v>2</v>
      </c>
      <c r="K147">
        <v>2</v>
      </c>
      <c r="L147" s="2">
        <f t="shared" si="15"/>
        <v>0</v>
      </c>
      <c r="M147" s="9">
        <v>8</v>
      </c>
      <c r="N147" s="9">
        <v>9</v>
      </c>
      <c r="O147">
        <f t="shared" si="16"/>
        <v>1</v>
      </c>
      <c r="P147" s="9">
        <v>2</v>
      </c>
      <c r="Q147" s="9">
        <v>2</v>
      </c>
      <c r="R147">
        <f t="shared" si="17"/>
        <v>0</v>
      </c>
      <c r="S147">
        <v>1</v>
      </c>
      <c r="T147">
        <v>3</v>
      </c>
      <c r="U147">
        <f t="shared" si="18"/>
        <v>2</v>
      </c>
      <c r="V147">
        <v>0</v>
      </c>
      <c r="W147">
        <v>0</v>
      </c>
      <c r="X147">
        <f t="shared" si="19"/>
        <v>0</v>
      </c>
      <c r="Y147" s="2">
        <v>0</v>
      </c>
      <c r="Z147" s="2">
        <v>0</v>
      </c>
      <c r="AA147" s="2">
        <v>0</v>
      </c>
      <c r="AB147" s="2">
        <f t="shared" si="14"/>
        <v>0</v>
      </c>
      <c r="AC147" s="2">
        <v>0</v>
      </c>
      <c r="AD147" s="2">
        <v>0</v>
      </c>
      <c r="AE147" s="2">
        <v>0</v>
      </c>
      <c r="AF147" s="2">
        <v>0</v>
      </c>
      <c r="AG147" s="2">
        <v>0</v>
      </c>
      <c r="AH147" s="2">
        <v>0</v>
      </c>
      <c r="AI147" s="2">
        <v>0</v>
      </c>
      <c r="AJ147" s="2">
        <v>1</v>
      </c>
      <c r="AK147">
        <f t="shared" si="20"/>
        <v>0</v>
      </c>
      <c r="AL147" t="s">
        <v>140</v>
      </c>
    </row>
    <row r="148" spans="1:38" x14ac:dyDescent="0.35">
      <c r="A148">
        <v>167</v>
      </c>
      <c r="B148" t="s">
        <v>18</v>
      </c>
      <c r="C148">
        <v>-0.04</v>
      </c>
      <c r="D148" s="2">
        <v>103</v>
      </c>
      <c r="E148" t="s">
        <v>62</v>
      </c>
      <c r="F148" t="s">
        <v>55</v>
      </c>
      <c r="G148" t="s">
        <v>166</v>
      </c>
      <c r="H148">
        <v>0</v>
      </c>
      <c r="I148" s="13">
        <v>0</v>
      </c>
      <c r="J148" s="2">
        <v>4</v>
      </c>
      <c r="K148">
        <v>5</v>
      </c>
      <c r="L148" s="2">
        <f t="shared" si="15"/>
        <v>1</v>
      </c>
      <c r="M148" s="9">
        <v>9</v>
      </c>
      <c r="N148" s="9">
        <v>9</v>
      </c>
      <c r="O148">
        <f t="shared" si="16"/>
        <v>0</v>
      </c>
      <c r="P148" s="9">
        <v>3</v>
      </c>
      <c r="Q148" s="9">
        <v>3</v>
      </c>
      <c r="R148">
        <f t="shared" si="17"/>
        <v>0</v>
      </c>
      <c r="S148">
        <v>1</v>
      </c>
      <c r="T148">
        <v>1</v>
      </c>
      <c r="U148">
        <f t="shared" si="18"/>
        <v>0</v>
      </c>
      <c r="V148">
        <v>-1</v>
      </c>
      <c r="W148">
        <v>0</v>
      </c>
      <c r="X148">
        <f t="shared" si="19"/>
        <v>1</v>
      </c>
      <c r="Y148" s="2">
        <v>0</v>
      </c>
      <c r="Z148" s="2">
        <v>0</v>
      </c>
      <c r="AA148" s="2">
        <v>0</v>
      </c>
      <c r="AB148" s="2">
        <f t="shared" si="14"/>
        <v>0</v>
      </c>
      <c r="AC148" s="2">
        <v>0</v>
      </c>
      <c r="AD148" s="2">
        <v>0</v>
      </c>
      <c r="AE148" s="2">
        <v>0</v>
      </c>
      <c r="AF148" s="2">
        <v>1</v>
      </c>
      <c r="AG148" s="2">
        <v>0</v>
      </c>
      <c r="AH148" s="2">
        <v>0</v>
      </c>
      <c r="AI148" s="2">
        <v>0</v>
      </c>
      <c r="AJ148" s="2">
        <v>0</v>
      </c>
      <c r="AK148">
        <f t="shared" si="20"/>
        <v>0</v>
      </c>
      <c r="AL148" t="s">
        <v>140</v>
      </c>
    </row>
    <row r="149" spans="1:38" x14ac:dyDescent="0.35">
      <c r="A149">
        <v>169</v>
      </c>
      <c r="B149" t="s">
        <v>16</v>
      </c>
      <c r="C149">
        <v>1.61</v>
      </c>
      <c r="D149" s="2">
        <v>71</v>
      </c>
      <c r="E149" t="s">
        <v>52</v>
      </c>
      <c r="F149" t="s">
        <v>56</v>
      </c>
      <c r="G149" t="s">
        <v>166</v>
      </c>
      <c r="H149">
        <v>0</v>
      </c>
      <c r="I149" s="13">
        <v>0</v>
      </c>
      <c r="J149" s="2">
        <v>1</v>
      </c>
      <c r="K149">
        <v>1</v>
      </c>
      <c r="L149" s="2">
        <f t="shared" si="15"/>
        <v>0</v>
      </c>
      <c r="M149" s="9">
        <v>7</v>
      </c>
      <c r="N149" s="9">
        <v>8</v>
      </c>
      <c r="O149">
        <f t="shared" si="16"/>
        <v>1</v>
      </c>
      <c r="P149" s="9">
        <v>1</v>
      </c>
      <c r="Q149" s="9">
        <v>1</v>
      </c>
      <c r="R149">
        <f t="shared" si="17"/>
        <v>0</v>
      </c>
      <c r="S149">
        <v>1</v>
      </c>
      <c r="T149">
        <v>1</v>
      </c>
      <c r="U149">
        <f t="shared" si="18"/>
        <v>0</v>
      </c>
      <c r="V149">
        <v>2</v>
      </c>
      <c r="W149">
        <v>1</v>
      </c>
      <c r="X149">
        <f t="shared" si="19"/>
        <v>-1</v>
      </c>
      <c r="Y149" s="2">
        <v>0</v>
      </c>
      <c r="Z149" s="2">
        <v>0</v>
      </c>
      <c r="AA149" s="2">
        <v>0</v>
      </c>
      <c r="AB149" s="2">
        <f t="shared" si="14"/>
        <v>0</v>
      </c>
      <c r="AC149" s="2">
        <v>0</v>
      </c>
      <c r="AD149" s="2">
        <v>0</v>
      </c>
      <c r="AE149" s="2">
        <v>0</v>
      </c>
      <c r="AF149" s="2">
        <v>1</v>
      </c>
      <c r="AG149" s="2">
        <v>0</v>
      </c>
      <c r="AH149" s="2">
        <v>0</v>
      </c>
      <c r="AI149" s="2">
        <v>0</v>
      </c>
      <c r="AJ149" s="2">
        <v>0</v>
      </c>
      <c r="AK149">
        <f t="shared" si="20"/>
        <v>0</v>
      </c>
      <c r="AL149" t="s">
        <v>140</v>
      </c>
    </row>
    <row r="150" spans="1:38" x14ac:dyDescent="0.35">
      <c r="A150">
        <v>170</v>
      </c>
      <c r="B150" t="s">
        <v>18</v>
      </c>
      <c r="C150">
        <v>-0.04</v>
      </c>
      <c r="D150" s="2">
        <v>40</v>
      </c>
      <c r="E150" t="s">
        <v>62</v>
      </c>
      <c r="F150" t="s">
        <v>59</v>
      </c>
      <c r="G150" t="s">
        <v>166</v>
      </c>
      <c r="H150">
        <v>0</v>
      </c>
      <c r="I150" s="13">
        <v>0.25</v>
      </c>
      <c r="J150" s="2">
        <v>3</v>
      </c>
      <c r="K150">
        <v>4</v>
      </c>
      <c r="L150" s="2">
        <f t="shared" si="15"/>
        <v>1</v>
      </c>
      <c r="M150" s="9">
        <v>5</v>
      </c>
      <c r="N150" s="9">
        <v>5</v>
      </c>
      <c r="O150">
        <f t="shared" si="16"/>
        <v>0</v>
      </c>
      <c r="P150" s="9">
        <v>2</v>
      </c>
      <c r="Q150" s="9">
        <v>2</v>
      </c>
      <c r="R150">
        <f t="shared" si="17"/>
        <v>0</v>
      </c>
      <c r="S150">
        <v>1</v>
      </c>
      <c r="T150">
        <v>1</v>
      </c>
      <c r="U150">
        <f t="shared" si="18"/>
        <v>0</v>
      </c>
      <c r="V150">
        <v>2</v>
      </c>
      <c r="W150">
        <v>1</v>
      </c>
      <c r="X150">
        <f t="shared" si="19"/>
        <v>-1</v>
      </c>
      <c r="Y150" s="2">
        <v>1</v>
      </c>
      <c r="Z150" s="2">
        <v>1</v>
      </c>
      <c r="AA150" s="2">
        <v>0</v>
      </c>
      <c r="AB150" s="2">
        <f t="shared" si="14"/>
        <v>1</v>
      </c>
      <c r="AC150" s="2">
        <v>1</v>
      </c>
      <c r="AD150" s="2">
        <v>0</v>
      </c>
      <c r="AE150" s="2">
        <v>0</v>
      </c>
      <c r="AF150" s="2">
        <v>1</v>
      </c>
      <c r="AG150" s="2">
        <v>0</v>
      </c>
      <c r="AH150" s="2">
        <v>1</v>
      </c>
      <c r="AI150" s="2">
        <v>0</v>
      </c>
      <c r="AJ150" s="2">
        <v>0</v>
      </c>
      <c r="AK150">
        <f t="shared" si="20"/>
        <v>0</v>
      </c>
      <c r="AL150" t="s">
        <v>47</v>
      </c>
    </row>
    <row r="151" spans="1:38" x14ac:dyDescent="0.35">
      <c r="A151">
        <v>171</v>
      </c>
      <c r="B151" t="s">
        <v>127</v>
      </c>
      <c r="C151" s="9">
        <v>1.81</v>
      </c>
      <c r="D151" s="2">
        <v>4</v>
      </c>
      <c r="E151" t="s">
        <v>61</v>
      </c>
      <c r="F151" t="s">
        <v>59</v>
      </c>
      <c r="G151" t="s">
        <v>166</v>
      </c>
      <c r="H151">
        <v>0</v>
      </c>
      <c r="I151" s="13">
        <v>0.25</v>
      </c>
      <c r="J151" s="2">
        <v>3</v>
      </c>
      <c r="K151">
        <v>3</v>
      </c>
      <c r="L151" s="2">
        <f t="shared" si="15"/>
        <v>0</v>
      </c>
      <c r="M151" s="9">
        <v>8</v>
      </c>
      <c r="N151" s="9">
        <v>8</v>
      </c>
      <c r="O151">
        <f t="shared" si="16"/>
        <v>0</v>
      </c>
      <c r="P151" s="9">
        <v>2</v>
      </c>
      <c r="Q151" s="9">
        <v>2</v>
      </c>
      <c r="R151">
        <f t="shared" si="17"/>
        <v>0</v>
      </c>
      <c r="S151">
        <v>4</v>
      </c>
      <c r="T151">
        <v>4</v>
      </c>
      <c r="U151">
        <f t="shared" si="18"/>
        <v>0</v>
      </c>
      <c r="V151">
        <v>1</v>
      </c>
      <c r="W151">
        <v>1</v>
      </c>
      <c r="X151">
        <f t="shared" si="19"/>
        <v>0</v>
      </c>
      <c r="Y151" s="2">
        <v>0</v>
      </c>
      <c r="Z151" s="2">
        <v>0</v>
      </c>
      <c r="AA151" s="2">
        <v>0</v>
      </c>
      <c r="AB151" s="2">
        <f t="shared" si="14"/>
        <v>0</v>
      </c>
      <c r="AC151" s="2">
        <v>0</v>
      </c>
      <c r="AD151" s="2">
        <v>1</v>
      </c>
      <c r="AE151" s="2">
        <v>0</v>
      </c>
      <c r="AF151" s="2">
        <v>1</v>
      </c>
      <c r="AG151" s="2">
        <v>0</v>
      </c>
      <c r="AH151" s="2">
        <v>1</v>
      </c>
      <c r="AI151" s="2">
        <v>1</v>
      </c>
      <c r="AJ151" s="2">
        <v>1</v>
      </c>
      <c r="AK151">
        <f t="shared" si="20"/>
        <v>0</v>
      </c>
      <c r="AL151" t="s">
        <v>6</v>
      </c>
    </row>
    <row r="152" spans="1:38" x14ac:dyDescent="0.35">
      <c r="A152">
        <v>172</v>
      </c>
      <c r="B152" t="s">
        <v>127</v>
      </c>
      <c r="C152" s="9">
        <v>1.81</v>
      </c>
      <c r="D152" s="2">
        <v>15</v>
      </c>
      <c r="E152" t="s">
        <v>61</v>
      </c>
      <c r="F152" t="s">
        <v>53</v>
      </c>
      <c r="G152" t="s">
        <v>166</v>
      </c>
      <c r="H152">
        <v>0</v>
      </c>
      <c r="I152" s="13">
        <v>1</v>
      </c>
      <c r="J152" s="2">
        <v>3</v>
      </c>
      <c r="K152">
        <v>3</v>
      </c>
      <c r="L152" s="2">
        <f t="shared" si="15"/>
        <v>0</v>
      </c>
      <c r="M152" s="9">
        <v>9</v>
      </c>
      <c r="N152" s="9">
        <v>6</v>
      </c>
      <c r="O152">
        <f t="shared" si="16"/>
        <v>-3</v>
      </c>
      <c r="P152" s="9">
        <v>1</v>
      </c>
      <c r="Q152" s="9">
        <v>1</v>
      </c>
      <c r="R152">
        <f t="shared" si="17"/>
        <v>0</v>
      </c>
      <c r="S152">
        <v>4</v>
      </c>
      <c r="T152">
        <v>3</v>
      </c>
      <c r="U152">
        <f t="shared" si="18"/>
        <v>-1</v>
      </c>
      <c r="V152">
        <v>1</v>
      </c>
      <c r="W152">
        <v>1</v>
      </c>
      <c r="X152">
        <f t="shared" si="19"/>
        <v>0</v>
      </c>
      <c r="Y152" s="2">
        <v>0</v>
      </c>
      <c r="Z152" s="2">
        <v>1</v>
      </c>
      <c r="AA152" s="2">
        <v>0</v>
      </c>
      <c r="AB152" s="2">
        <f t="shared" si="14"/>
        <v>1</v>
      </c>
      <c r="AC152" s="2">
        <v>0</v>
      </c>
      <c r="AD152" s="2">
        <v>0</v>
      </c>
      <c r="AE152" s="2">
        <v>0</v>
      </c>
      <c r="AF152" s="2">
        <v>0</v>
      </c>
      <c r="AG152" s="2">
        <v>0</v>
      </c>
      <c r="AH152" s="2">
        <v>0</v>
      </c>
      <c r="AI152" s="2">
        <v>0</v>
      </c>
      <c r="AJ152" s="2">
        <v>0</v>
      </c>
      <c r="AK152">
        <f t="shared" si="20"/>
        <v>0</v>
      </c>
      <c r="AL152" t="s">
        <v>136</v>
      </c>
    </row>
    <row r="153" spans="1:38" x14ac:dyDescent="0.35">
      <c r="A153">
        <v>173</v>
      </c>
      <c r="B153" t="s">
        <v>14</v>
      </c>
      <c r="C153">
        <v>1.42</v>
      </c>
      <c r="D153" s="2">
        <v>4</v>
      </c>
      <c r="E153" t="s">
        <v>160</v>
      </c>
      <c r="F153" t="s">
        <v>53</v>
      </c>
      <c r="G153" t="s">
        <v>166</v>
      </c>
      <c r="H153">
        <v>0</v>
      </c>
      <c r="I153" s="13">
        <v>0</v>
      </c>
      <c r="J153" s="2">
        <v>3</v>
      </c>
      <c r="K153">
        <v>3</v>
      </c>
      <c r="L153" s="2">
        <f t="shared" si="15"/>
        <v>0</v>
      </c>
      <c r="M153" s="9">
        <v>10</v>
      </c>
      <c r="N153" s="9">
        <v>10</v>
      </c>
      <c r="O153">
        <f t="shared" si="16"/>
        <v>0</v>
      </c>
      <c r="P153" s="9">
        <v>3</v>
      </c>
      <c r="Q153" s="9">
        <v>3</v>
      </c>
      <c r="R153">
        <f t="shared" si="17"/>
        <v>0</v>
      </c>
      <c r="S153">
        <v>1</v>
      </c>
      <c r="T153">
        <v>1</v>
      </c>
      <c r="U153">
        <f t="shared" si="18"/>
        <v>0</v>
      </c>
      <c r="V153">
        <v>0</v>
      </c>
      <c r="W153">
        <v>0</v>
      </c>
      <c r="X153">
        <f t="shared" si="19"/>
        <v>0</v>
      </c>
      <c r="Y153" s="2">
        <v>0</v>
      </c>
      <c r="Z153" s="2">
        <v>0</v>
      </c>
      <c r="AA153" s="2">
        <v>0</v>
      </c>
      <c r="AB153" s="2">
        <f t="shared" si="14"/>
        <v>0</v>
      </c>
      <c r="AC153" s="2">
        <v>0</v>
      </c>
      <c r="AD153" s="2">
        <v>0</v>
      </c>
      <c r="AE153" s="2">
        <v>0</v>
      </c>
      <c r="AF153" s="2">
        <v>0</v>
      </c>
      <c r="AG153" s="2">
        <v>0</v>
      </c>
      <c r="AH153" s="2">
        <v>0</v>
      </c>
      <c r="AI153" s="2">
        <v>0</v>
      </c>
      <c r="AJ153" s="2">
        <v>0</v>
      </c>
      <c r="AK153">
        <f t="shared" si="20"/>
        <v>1</v>
      </c>
      <c r="AL153" t="s">
        <v>140</v>
      </c>
    </row>
    <row r="154" spans="1:38" x14ac:dyDescent="0.35">
      <c r="A154">
        <v>174</v>
      </c>
      <c r="B154" t="s">
        <v>14</v>
      </c>
      <c r="C154">
        <v>1.42</v>
      </c>
      <c r="D154" s="2">
        <v>60</v>
      </c>
      <c r="E154" t="s">
        <v>160</v>
      </c>
      <c r="F154" t="s">
        <v>55</v>
      </c>
      <c r="G154" t="s">
        <v>166</v>
      </c>
      <c r="H154">
        <v>0</v>
      </c>
      <c r="I154" s="13">
        <v>1</v>
      </c>
      <c r="J154" s="2">
        <v>5</v>
      </c>
      <c r="K154">
        <v>5</v>
      </c>
      <c r="L154" s="2">
        <f t="shared" si="15"/>
        <v>0</v>
      </c>
      <c r="M154" s="9">
        <v>10</v>
      </c>
      <c r="N154" s="9">
        <v>1</v>
      </c>
      <c r="O154">
        <f t="shared" si="16"/>
        <v>-9</v>
      </c>
      <c r="P154" s="9">
        <v>3</v>
      </c>
      <c r="Q154" s="9">
        <v>3</v>
      </c>
      <c r="R154">
        <f t="shared" si="17"/>
        <v>0</v>
      </c>
      <c r="S154">
        <v>2</v>
      </c>
      <c r="T154">
        <v>2</v>
      </c>
      <c r="U154">
        <f t="shared" si="18"/>
        <v>0</v>
      </c>
      <c r="V154">
        <v>0</v>
      </c>
      <c r="W154">
        <v>0</v>
      </c>
      <c r="X154">
        <f t="shared" si="19"/>
        <v>0</v>
      </c>
      <c r="Y154" s="2">
        <v>0</v>
      </c>
      <c r="Z154" s="2">
        <v>1</v>
      </c>
      <c r="AA154" s="2">
        <v>1</v>
      </c>
      <c r="AB154" s="2">
        <f t="shared" si="14"/>
        <v>1</v>
      </c>
      <c r="AC154" s="2">
        <v>0</v>
      </c>
      <c r="AD154" s="2">
        <v>1</v>
      </c>
      <c r="AE154" s="2">
        <v>0</v>
      </c>
      <c r="AF154" s="2">
        <v>1</v>
      </c>
      <c r="AG154" s="2">
        <v>0</v>
      </c>
      <c r="AH154" s="2">
        <v>0</v>
      </c>
      <c r="AI154" s="2">
        <v>0</v>
      </c>
      <c r="AJ154" s="2">
        <v>0</v>
      </c>
      <c r="AK154">
        <f t="shared" si="20"/>
        <v>0</v>
      </c>
      <c r="AL154" t="s">
        <v>136</v>
      </c>
    </row>
    <row r="155" spans="1:38" x14ac:dyDescent="0.35">
      <c r="A155">
        <v>175</v>
      </c>
      <c r="B155" t="s">
        <v>18</v>
      </c>
      <c r="C155">
        <v>-0.04</v>
      </c>
      <c r="D155" s="2">
        <v>60</v>
      </c>
      <c r="E155" t="s">
        <v>160</v>
      </c>
      <c r="F155" t="s">
        <v>59</v>
      </c>
      <c r="G155" t="s">
        <v>167</v>
      </c>
      <c r="H155">
        <v>0</v>
      </c>
      <c r="I155" s="13">
        <v>0.25</v>
      </c>
      <c r="J155" s="2">
        <v>10</v>
      </c>
      <c r="K155">
        <v>9</v>
      </c>
      <c r="L155" s="2">
        <f t="shared" si="15"/>
        <v>-1</v>
      </c>
      <c r="M155" s="9">
        <v>7</v>
      </c>
      <c r="N155" s="9">
        <v>6</v>
      </c>
      <c r="O155">
        <f t="shared" si="16"/>
        <v>-1</v>
      </c>
      <c r="P155" s="9">
        <v>3</v>
      </c>
      <c r="Q155" s="9">
        <v>3</v>
      </c>
      <c r="R155">
        <f t="shared" si="17"/>
        <v>0</v>
      </c>
      <c r="S155">
        <v>4</v>
      </c>
      <c r="T155">
        <v>3</v>
      </c>
      <c r="U155">
        <f t="shared" si="18"/>
        <v>-1</v>
      </c>
      <c r="V155">
        <v>1</v>
      </c>
      <c r="W155">
        <v>1</v>
      </c>
      <c r="X155">
        <f t="shared" si="19"/>
        <v>0</v>
      </c>
      <c r="Y155" s="2">
        <v>0</v>
      </c>
      <c r="Z155" s="2">
        <v>0</v>
      </c>
      <c r="AA155" s="2">
        <v>0</v>
      </c>
      <c r="AB155" s="2">
        <f t="shared" si="14"/>
        <v>0</v>
      </c>
      <c r="AC155" s="2">
        <v>0</v>
      </c>
      <c r="AD155" s="2">
        <v>1</v>
      </c>
      <c r="AE155" s="2">
        <v>0</v>
      </c>
      <c r="AF155" s="2">
        <v>1</v>
      </c>
      <c r="AG155" s="2">
        <v>0</v>
      </c>
      <c r="AH155" s="2">
        <v>0</v>
      </c>
      <c r="AI155" s="2">
        <v>1</v>
      </c>
      <c r="AJ155" s="2">
        <v>0</v>
      </c>
      <c r="AK155">
        <f t="shared" si="20"/>
        <v>0</v>
      </c>
      <c r="AL155" t="s">
        <v>6</v>
      </c>
    </row>
    <row r="156" spans="1:38" x14ac:dyDescent="0.35">
      <c r="A156">
        <v>176</v>
      </c>
      <c r="B156" t="s">
        <v>127</v>
      </c>
      <c r="C156" s="9">
        <v>1.81</v>
      </c>
      <c r="D156" s="2">
        <v>95</v>
      </c>
      <c r="E156" t="s">
        <v>61</v>
      </c>
      <c r="F156" t="s">
        <v>53</v>
      </c>
      <c r="G156" t="s">
        <v>167</v>
      </c>
      <c r="H156">
        <v>0</v>
      </c>
      <c r="I156" s="13">
        <v>0.75</v>
      </c>
      <c r="J156" s="2">
        <v>4</v>
      </c>
      <c r="K156">
        <v>4</v>
      </c>
      <c r="L156" s="2">
        <f t="shared" si="15"/>
        <v>0</v>
      </c>
      <c r="M156" s="9">
        <v>7</v>
      </c>
      <c r="N156" s="9">
        <v>7</v>
      </c>
      <c r="O156">
        <f t="shared" si="16"/>
        <v>0</v>
      </c>
      <c r="P156" s="9">
        <v>1</v>
      </c>
      <c r="Q156" s="9">
        <v>1</v>
      </c>
      <c r="R156">
        <f t="shared" si="17"/>
        <v>0</v>
      </c>
      <c r="S156">
        <v>1</v>
      </c>
      <c r="T156">
        <v>3</v>
      </c>
      <c r="U156">
        <f t="shared" si="18"/>
        <v>2</v>
      </c>
      <c r="V156">
        <v>1</v>
      </c>
      <c r="W156">
        <v>1</v>
      </c>
      <c r="X156">
        <f t="shared" si="19"/>
        <v>0</v>
      </c>
      <c r="Y156" s="2">
        <v>0</v>
      </c>
      <c r="Z156" s="2">
        <v>1</v>
      </c>
      <c r="AA156" s="2">
        <v>0</v>
      </c>
      <c r="AB156" s="2">
        <f t="shared" si="14"/>
        <v>1</v>
      </c>
      <c r="AC156" s="2">
        <v>0</v>
      </c>
      <c r="AD156" s="2">
        <v>1</v>
      </c>
      <c r="AE156" s="2">
        <v>1</v>
      </c>
      <c r="AF156" s="2">
        <v>1</v>
      </c>
      <c r="AG156" s="2">
        <v>0</v>
      </c>
      <c r="AH156" s="2">
        <v>0</v>
      </c>
      <c r="AI156" s="2">
        <v>0</v>
      </c>
      <c r="AJ156" s="2">
        <v>1</v>
      </c>
      <c r="AK156">
        <f t="shared" si="20"/>
        <v>0</v>
      </c>
      <c r="AL156" t="s">
        <v>136</v>
      </c>
    </row>
    <row r="157" spans="1:38" x14ac:dyDescent="0.35">
      <c r="A157">
        <v>177</v>
      </c>
      <c r="B157" t="s">
        <v>14</v>
      </c>
      <c r="C157">
        <v>1.42</v>
      </c>
      <c r="D157" s="2">
        <v>3</v>
      </c>
      <c r="E157" t="s">
        <v>160</v>
      </c>
      <c r="F157" t="s">
        <v>53</v>
      </c>
      <c r="G157" t="s">
        <v>166</v>
      </c>
      <c r="H157">
        <v>0</v>
      </c>
      <c r="I157" s="13">
        <v>0</v>
      </c>
      <c r="J157" s="2">
        <v>5</v>
      </c>
      <c r="K157">
        <v>5</v>
      </c>
      <c r="L157" s="2">
        <f t="shared" si="15"/>
        <v>0</v>
      </c>
      <c r="M157" s="9">
        <v>7</v>
      </c>
      <c r="N157" s="9">
        <v>5</v>
      </c>
      <c r="O157">
        <f t="shared" si="16"/>
        <v>-2</v>
      </c>
      <c r="P157" s="9">
        <v>1</v>
      </c>
      <c r="Q157" s="9">
        <v>1</v>
      </c>
      <c r="R157">
        <f t="shared" si="17"/>
        <v>0</v>
      </c>
      <c r="S157">
        <v>5</v>
      </c>
      <c r="T157">
        <v>5</v>
      </c>
      <c r="U157">
        <f t="shared" si="18"/>
        <v>0</v>
      </c>
      <c r="V157">
        <v>1</v>
      </c>
      <c r="W157">
        <v>1</v>
      </c>
      <c r="X157">
        <f t="shared" si="19"/>
        <v>0</v>
      </c>
      <c r="Y157" s="2">
        <v>0</v>
      </c>
      <c r="Z157" s="2">
        <v>0</v>
      </c>
      <c r="AA157" s="2">
        <v>0</v>
      </c>
      <c r="AB157" s="2">
        <f t="shared" si="14"/>
        <v>0</v>
      </c>
      <c r="AC157" s="2">
        <v>0</v>
      </c>
      <c r="AD157" s="2">
        <v>1</v>
      </c>
      <c r="AE157" s="2">
        <v>0</v>
      </c>
      <c r="AF157" s="2">
        <v>1</v>
      </c>
      <c r="AG157" s="2">
        <v>0</v>
      </c>
      <c r="AH157" s="2">
        <v>0</v>
      </c>
      <c r="AI157" s="2">
        <v>1</v>
      </c>
      <c r="AJ157" s="2">
        <v>0</v>
      </c>
      <c r="AK157">
        <f t="shared" si="20"/>
        <v>0</v>
      </c>
      <c r="AL157" t="s">
        <v>6</v>
      </c>
    </row>
    <row r="158" spans="1:38" x14ac:dyDescent="0.35">
      <c r="A158">
        <v>178</v>
      </c>
      <c r="B158" t="s">
        <v>127</v>
      </c>
      <c r="C158" s="9">
        <v>1.81</v>
      </c>
      <c r="D158" s="2">
        <v>21</v>
      </c>
      <c r="E158" t="s">
        <v>61</v>
      </c>
      <c r="F158" t="s">
        <v>53</v>
      </c>
      <c r="G158" t="s">
        <v>166</v>
      </c>
      <c r="H158">
        <v>0</v>
      </c>
      <c r="I158" s="13">
        <v>0.75</v>
      </c>
      <c r="J158" s="2">
        <v>3</v>
      </c>
      <c r="K158">
        <v>3</v>
      </c>
      <c r="L158" s="2">
        <f t="shared" si="15"/>
        <v>0</v>
      </c>
      <c r="M158" s="9">
        <v>9</v>
      </c>
      <c r="N158" s="9">
        <v>8</v>
      </c>
      <c r="O158">
        <f t="shared" si="16"/>
        <v>-1</v>
      </c>
      <c r="P158" s="9">
        <v>3</v>
      </c>
      <c r="Q158" s="9">
        <v>3</v>
      </c>
      <c r="R158">
        <f t="shared" si="17"/>
        <v>0</v>
      </c>
      <c r="S158">
        <v>3</v>
      </c>
      <c r="T158">
        <v>3</v>
      </c>
      <c r="U158">
        <f t="shared" si="18"/>
        <v>0</v>
      </c>
      <c r="V158">
        <v>2</v>
      </c>
      <c r="W158">
        <v>2</v>
      </c>
      <c r="X158">
        <f t="shared" si="19"/>
        <v>0</v>
      </c>
      <c r="Y158" s="2">
        <v>0</v>
      </c>
      <c r="Z158" s="2">
        <v>1</v>
      </c>
      <c r="AA158" s="2">
        <v>1</v>
      </c>
      <c r="AB158" s="2">
        <f t="shared" si="14"/>
        <v>1</v>
      </c>
      <c r="AC158" s="2">
        <v>1</v>
      </c>
      <c r="AD158" s="2">
        <v>0</v>
      </c>
      <c r="AE158" s="2">
        <v>0</v>
      </c>
      <c r="AF158" s="2">
        <v>1</v>
      </c>
      <c r="AG158" s="2">
        <v>0</v>
      </c>
      <c r="AH158" s="2">
        <v>0</v>
      </c>
      <c r="AI158" s="2">
        <v>0</v>
      </c>
      <c r="AJ158" s="2">
        <v>1</v>
      </c>
      <c r="AK158">
        <f t="shared" si="20"/>
        <v>0</v>
      </c>
      <c r="AL158" t="s">
        <v>136</v>
      </c>
    </row>
    <row r="159" spans="1:38" x14ac:dyDescent="0.35">
      <c r="A159">
        <v>179</v>
      </c>
      <c r="B159" t="s">
        <v>18</v>
      </c>
      <c r="C159">
        <v>-0.04</v>
      </c>
      <c r="D159" s="2">
        <v>60</v>
      </c>
      <c r="E159" t="s">
        <v>160</v>
      </c>
      <c r="F159" t="s">
        <v>53</v>
      </c>
      <c r="G159" t="s">
        <v>166</v>
      </c>
      <c r="H159">
        <v>0</v>
      </c>
      <c r="I159" s="13">
        <v>0.25</v>
      </c>
      <c r="J159" s="2">
        <v>9</v>
      </c>
      <c r="K159">
        <v>9</v>
      </c>
      <c r="L159" s="2">
        <f t="shared" si="15"/>
        <v>0</v>
      </c>
      <c r="M159" s="9">
        <v>4</v>
      </c>
      <c r="N159" s="9">
        <v>4</v>
      </c>
      <c r="O159">
        <f t="shared" si="16"/>
        <v>0</v>
      </c>
      <c r="P159" s="9">
        <v>1</v>
      </c>
      <c r="Q159" s="9">
        <v>1</v>
      </c>
      <c r="R159">
        <f t="shared" si="17"/>
        <v>0</v>
      </c>
      <c r="S159">
        <v>1</v>
      </c>
      <c r="T159">
        <v>3</v>
      </c>
      <c r="U159">
        <f t="shared" si="18"/>
        <v>2</v>
      </c>
      <c r="V159">
        <v>2</v>
      </c>
      <c r="W159">
        <v>2</v>
      </c>
      <c r="X159">
        <f t="shared" si="19"/>
        <v>0</v>
      </c>
      <c r="Y159" s="2">
        <v>0</v>
      </c>
      <c r="Z159" s="2">
        <v>0</v>
      </c>
      <c r="AA159" s="2">
        <v>0</v>
      </c>
      <c r="AB159" s="2">
        <f t="shared" si="14"/>
        <v>0</v>
      </c>
      <c r="AC159" s="2">
        <v>0</v>
      </c>
      <c r="AD159" s="2">
        <v>1</v>
      </c>
      <c r="AE159" s="2">
        <v>0</v>
      </c>
      <c r="AF159" s="2">
        <v>0</v>
      </c>
      <c r="AG159" s="2">
        <v>0</v>
      </c>
      <c r="AH159" s="2">
        <v>0</v>
      </c>
      <c r="AI159" s="2">
        <v>1</v>
      </c>
      <c r="AJ159" s="2">
        <v>1</v>
      </c>
      <c r="AK159">
        <f t="shared" si="20"/>
        <v>0</v>
      </c>
      <c r="AL159" t="s">
        <v>6</v>
      </c>
    </row>
    <row r="160" spans="1:38" x14ac:dyDescent="0.35">
      <c r="A160">
        <v>180</v>
      </c>
      <c r="B160" t="s">
        <v>165</v>
      </c>
      <c r="C160">
        <v>1.47</v>
      </c>
      <c r="D160" s="5">
        <v>14</v>
      </c>
      <c r="E160" t="s">
        <v>162</v>
      </c>
      <c r="F160" t="s">
        <v>56</v>
      </c>
      <c r="G160" t="s">
        <v>166</v>
      </c>
      <c r="H160">
        <v>0</v>
      </c>
      <c r="I160" s="13">
        <v>0</v>
      </c>
      <c r="J160" s="2">
        <v>7</v>
      </c>
      <c r="K160">
        <v>7</v>
      </c>
      <c r="L160" s="2">
        <f t="shared" si="15"/>
        <v>0</v>
      </c>
      <c r="M160" s="9">
        <v>6</v>
      </c>
      <c r="N160" s="9">
        <v>6</v>
      </c>
      <c r="O160">
        <f t="shared" si="16"/>
        <v>0</v>
      </c>
      <c r="P160" s="9">
        <v>3</v>
      </c>
      <c r="Q160" s="9">
        <v>3</v>
      </c>
      <c r="R160">
        <f t="shared" si="17"/>
        <v>0</v>
      </c>
      <c r="S160">
        <v>3</v>
      </c>
      <c r="T160">
        <v>1</v>
      </c>
      <c r="U160">
        <f t="shared" si="18"/>
        <v>-2</v>
      </c>
      <c r="V160">
        <v>0</v>
      </c>
      <c r="W160">
        <v>0</v>
      </c>
      <c r="X160">
        <f t="shared" si="19"/>
        <v>0</v>
      </c>
      <c r="Y160" s="2">
        <v>0</v>
      </c>
      <c r="Z160" s="2">
        <v>0</v>
      </c>
      <c r="AA160" s="2">
        <v>0</v>
      </c>
      <c r="AB160" s="2">
        <f t="shared" si="14"/>
        <v>0</v>
      </c>
      <c r="AC160" s="2">
        <v>0</v>
      </c>
      <c r="AD160" s="2">
        <v>1</v>
      </c>
      <c r="AE160" s="2">
        <v>0</v>
      </c>
      <c r="AF160" s="2">
        <v>1</v>
      </c>
      <c r="AG160" s="2">
        <v>0</v>
      </c>
      <c r="AH160" s="2">
        <v>0</v>
      </c>
      <c r="AI160" s="2">
        <v>0</v>
      </c>
      <c r="AJ160" s="2">
        <v>0</v>
      </c>
      <c r="AK160">
        <f t="shared" si="20"/>
        <v>0</v>
      </c>
      <c r="AL160" s="9" t="s">
        <v>6</v>
      </c>
    </row>
    <row r="161" spans="1:38" x14ac:dyDescent="0.35">
      <c r="A161">
        <v>181</v>
      </c>
      <c r="B161" t="s">
        <v>18</v>
      </c>
      <c r="C161">
        <v>-0.04</v>
      </c>
      <c r="D161" s="2">
        <v>60</v>
      </c>
      <c r="E161" t="s">
        <v>160</v>
      </c>
      <c r="F161" t="s">
        <v>53</v>
      </c>
      <c r="G161" t="s">
        <v>167</v>
      </c>
      <c r="H161">
        <v>0</v>
      </c>
      <c r="I161" s="13">
        <v>0.5</v>
      </c>
      <c r="J161" s="2">
        <v>3</v>
      </c>
      <c r="K161">
        <v>3</v>
      </c>
      <c r="L161" s="2">
        <f t="shared" si="15"/>
        <v>0</v>
      </c>
      <c r="M161" s="9">
        <v>6</v>
      </c>
      <c r="N161" s="9">
        <v>6</v>
      </c>
      <c r="O161">
        <f t="shared" si="16"/>
        <v>0</v>
      </c>
      <c r="P161" s="9">
        <v>1</v>
      </c>
      <c r="Q161" s="9">
        <v>1</v>
      </c>
      <c r="R161">
        <f t="shared" si="17"/>
        <v>0</v>
      </c>
      <c r="S161">
        <v>2</v>
      </c>
      <c r="T161">
        <v>2</v>
      </c>
      <c r="U161">
        <f t="shared" si="18"/>
        <v>0</v>
      </c>
      <c r="V161">
        <v>1</v>
      </c>
      <c r="W161">
        <v>1</v>
      </c>
      <c r="X161">
        <f t="shared" si="19"/>
        <v>0</v>
      </c>
      <c r="Y161" s="2">
        <v>0</v>
      </c>
      <c r="Z161" s="2">
        <v>0</v>
      </c>
      <c r="AA161" s="2">
        <v>0</v>
      </c>
      <c r="AB161" s="2">
        <f t="shared" si="14"/>
        <v>0</v>
      </c>
      <c r="AC161" s="2">
        <v>0</v>
      </c>
      <c r="AD161" s="2">
        <v>1</v>
      </c>
      <c r="AE161" s="2">
        <v>0</v>
      </c>
      <c r="AF161" s="2">
        <v>1</v>
      </c>
      <c r="AG161" s="2">
        <v>0</v>
      </c>
      <c r="AH161" s="2">
        <v>0</v>
      </c>
      <c r="AI161" s="2">
        <v>1</v>
      </c>
      <c r="AJ161" s="2">
        <v>0</v>
      </c>
      <c r="AK161">
        <f t="shared" si="20"/>
        <v>0</v>
      </c>
      <c r="AL161" t="s">
        <v>6</v>
      </c>
    </row>
    <row r="162" spans="1:38" x14ac:dyDescent="0.35">
      <c r="A162">
        <v>182</v>
      </c>
      <c r="B162" t="s">
        <v>18</v>
      </c>
      <c r="C162">
        <v>-0.04</v>
      </c>
      <c r="D162" s="2">
        <v>103</v>
      </c>
      <c r="E162" t="s">
        <v>160</v>
      </c>
      <c r="F162" t="s">
        <v>53</v>
      </c>
      <c r="G162" t="s">
        <v>166</v>
      </c>
      <c r="H162">
        <v>0</v>
      </c>
      <c r="I162" s="13">
        <v>0.25</v>
      </c>
      <c r="J162" s="2">
        <v>4</v>
      </c>
      <c r="K162">
        <v>4</v>
      </c>
      <c r="L162" s="2">
        <f t="shared" si="15"/>
        <v>0</v>
      </c>
      <c r="M162" s="9">
        <v>4</v>
      </c>
      <c r="N162" s="9">
        <v>3</v>
      </c>
      <c r="O162">
        <f t="shared" si="16"/>
        <v>-1</v>
      </c>
      <c r="P162" s="9">
        <v>1</v>
      </c>
      <c r="Q162" s="9">
        <v>1</v>
      </c>
      <c r="R162">
        <f t="shared" si="17"/>
        <v>0</v>
      </c>
      <c r="S162">
        <v>1</v>
      </c>
      <c r="T162">
        <v>1</v>
      </c>
      <c r="U162">
        <f t="shared" si="18"/>
        <v>0</v>
      </c>
      <c r="V162">
        <v>1</v>
      </c>
      <c r="W162">
        <v>1</v>
      </c>
      <c r="X162">
        <f t="shared" si="19"/>
        <v>0</v>
      </c>
      <c r="Y162" s="2">
        <v>0</v>
      </c>
      <c r="Z162" s="2">
        <v>1</v>
      </c>
      <c r="AA162" s="2">
        <v>0</v>
      </c>
      <c r="AB162" s="2">
        <f t="shared" si="14"/>
        <v>1</v>
      </c>
      <c r="AC162" s="2">
        <v>0</v>
      </c>
      <c r="AD162" s="2">
        <v>0</v>
      </c>
      <c r="AE162" s="2">
        <v>0</v>
      </c>
      <c r="AF162" s="2">
        <v>1</v>
      </c>
      <c r="AG162" s="2">
        <v>0</v>
      </c>
      <c r="AH162" s="2">
        <v>0</v>
      </c>
      <c r="AI162" s="2">
        <v>0</v>
      </c>
      <c r="AJ162" s="2">
        <v>0</v>
      </c>
      <c r="AK162">
        <f t="shared" si="20"/>
        <v>0</v>
      </c>
      <c r="AL162" t="s">
        <v>136</v>
      </c>
    </row>
    <row r="163" spans="1:38" x14ac:dyDescent="0.35">
      <c r="A163">
        <v>183</v>
      </c>
      <c r="B163" t="s">
        <v>16</v>
      </c>
      <c r="C163">
        <v>1.61</v>
      </c>
      <c r="D163" s="2">
        <v>6</v>
      </c>
      <c r="E163" t="s">
        <v>160</v>
      </c>
      <c r="F163" t="s">
        <v>53</v>
      </c>
      <c r="G163" t="s">
        <v>167</v>
      </c>
      <c r="H163">
        <v>0</v>
      </c>
      <c r="I163" s="13">
        <v>0</v>
      </c>
      <c r="J163" s="2">
        <v>9</v>
      </c>
      <c r="K163">
        <v>9</v>
      </c>
      <c r="L163" s="2">
        <f t="shared" si="15"/>
        <v>0</v>
      </c>
      <c r="M163" s="9">
        <v>7</v>
      </c>
      <c r="N163" s="9">
        <v>7</v>
      </c>
      <c r="O163">
        <f t="shared" si="16"/>
        <v>0</v>
      </c>
      <c r="P163" s="9">
        <v>2</v>
      </c>
      <c r="Q163" s="9">
        <v>2</v>
      </c>
      <c r="R163">
        <f t="shared" si="17"/>
        <v>0</v>
      </c>
      <c r="S163">
        <v>2</v>
      </c>
      <c r="T163">
        <v>1</v>
      </c>
      <c r="U163">
        <f t="shared" si="18"/>
        <v>-1</v>
      </c>
      <c r="V163">
        <v>1</v>
      </c>
      <c r="W163">
        <v>1</v>
      </c>
      <c r="X163">
        <f t="shared" si="19"/>
        <v>0</v>
      </c>
      <c r="Y163" s="2">
        <v>0</v>
      </c>
      <c r="Z163" s="2">
        <v>0</v>
      </c>
      <c r="AA163" s="2">
        <v>0</v>
      </c>
      <c r="AB163" s="2">
        <f t="shared" si="14"/>
        <v>0</v>
      </c>
      <c r="AC163" s="2">
        <v>0</v>
      </c>
      <c r="AD163" s="2">
        <v>0</v>
      </c>
      <c r="AE163" s="2">
        <v>0</v>
      </c>
      <c r="AF163" s="2">
        <v>1</v>
      </c>
      <c r="AG163" s="2">
        <v>0</v>
      </c>
      <c r="AH163" s="2">
        <v>0</v>
      </c>
      <c r="AI163" s="2">
        <v>0</v>
      </c>
      <c r="AJ163" s="2">
        <v>0</v>
      </c>
      <c r="AK163">
        <f t="shared" si="20"/>
        <v>0</v>
      </c>
      <c r="AL163" t="s">
        <v>140</v>
      </c>
    </row>
    <row r="164" spans="1:38" x14ac:dyDescent="0.35">
      <c r="A164">
        <v>184</v>
      </c>
      <c r="B164" t="s">
        <v>127</v>
      </c>
      <c r="C164" s="9">
        <v>1.81</v>
      </c>
      <c r="D164" s="2">
        <v>55</v>
      </c>
      <c r="E164" t="s">
        <v>61</v>
      </c>
      <c r="F164" t="s">
        <v>55</v>
      </c>
      <c r="G164" t="s">
        <v>166</v>
      </c>
      <c r="H164">
        <v>0</v>
      </c>
      <c r="I164" s="13">
        <v>0</v>
      </c>
      <c r="J164" s="2">
        <v>2</v>
      </c>
      <c r="K164">
        <v>3</v>
      </c>
      <c r="L164" s="2">
        <f t="shared" si="15"/>
        <v>1</v>
      </c>
      <c r="M164" s="9">
        <v>9</v>
      </c>
      <c r="N164" s="9">
        <v>9</v>
      </c>
      <c r="O164">
        <f t="shared" si="16"/>
        <v>0</v>
      </c>
      <c r="S164">
        <v>1</v>
      </c>
      <c r="T164">
        <v>1</v>
      </c>
      <c r="U164">
        <f t="shared" si="18"/>
        <v>0</v>
      </c>
      <c r="V164">
        <v>0</v>
      </c>
      <c r="W164">
        <v>0</v>
      </c>
      <c r="X164">
        <f t="shared" si="19"/>
        <v>0</v>
      </c>
      <c r="Y164" s="2">
        <v>0</v>
      </c>
      <c r="Z164" s="2">
        <v>0</v>
      </c>
      <c r="AA164" s="2">
        <v>0</v>
      </c>
      <c r="AB164" s="2">
        <f t="shared" si="14"/>
        <v>0</v>
      </c>
      <c r="AC164" s="2">
        <v>0</v>
      </c>
      <c r="AD164" s="2">
        <v>0</v>
      </c>
      <c r="AE164" s="2">
        <v>0</v>
      </c>
      <c r="AF164" s="2">
        <v>0</v>
      </c>
      <c r="AG164" s="2">
        <v>0</v>
      </c>
      <c r="AH164" s="2">
        <v>0</v>
      </c>
      <c r="AI164" s="2">
        <v>0</v>
      </c>
      <c r="AJ164" s="2">
        <v>1</v>
      </c>
      <c r="AK164">
        <f t="shared" si="20"/>
        <v>0</v>
      </c>
      <c r="AL164" t="s">
        <v>140</v>
      </c>
    </row>
    <row r="165" spans="1:38" x14ac:dyDescent="0.35">
      <c r="A165">
        <v>185</v>
      </c>
      <c r="B165" t="s">
        <v>127</v>
      </c>
      <c r="C165" s="9">
        <v>1.81</v>
      </c>
      <c r="D165" s="2">
        <v>7</v>
      </c>
      <c r="E165" t="s">
        <v>61</v>
      </c>
      <c r="F165" t="s">
        <v>55</v>
      </c>
      <c r="G165" t="s">
        <v>166</v>
      </c>
      <c r="H165">
        <v>0</v>
      </c>
      <c r="I165" s="13">
        <v>0.5</v>
      </c>
      <c r="J165" s="2">
        <v>5</v>
      </c>
      <c r="K165">
        <v>5</v>
      </c>
      <c r="L165" s="2">
        <f t="shared" si="15"/>
        <v>0</v>
      </c>
      <c r="M165" s="9">
        <v>7</v>
      </c>
      <c r="N165" s="9">
        <v>7</v>
      </c>
      <c r="O165">
        <f t="shared" si="16"/>
        <v>0</v>
      </c>
      <c r="P165">
        <v>1</v>
      </c>
      <c r="Q165">
        <v>1</v>
      </c>
      <c r="R165">
        <f t="shared" si="17"/>
        <v>0</v>
      </c>
      <c r="S165">
        <v>2</v>
      </c>
      <c r="T165">
        <v>3</v>
      </c>
      <c r="U165">
        <f t="shared" si="18"/>
        <v>1</v>
      </c>
      <c r="V165">
        <v>1</v>
      </c>
      <c r="W165">
        <v>1</v>
      </c>
      <c r="X165">
        <f t="shared" si="19"/>
        <v>0</v>
      </c>
      <c r="Y165" s="2">
        <v>0</v>
      </c>
      <c r="Z165" s="2">
        <v>1</v>
      </c>
      <c r="AA165" s="2">
        <v>1</v>
      </c>
      <c r="AB165" s="2">
        <f t="shared" si="14"/>
        <v>1</v>
      </c>
      <c r="AC165" s="2">
        <v>1</v>
      </c>
      <c r="AD165" s="2">
        <v>1</v>
      </c>
      <c r="AE165" s="2">
        <v>0</v>
      </c>
      <c r="AF165" s="2">
        <v>1</v>
      </c>
      <c r="AG165" s="2">
        <v>0</v>
      </c>
      <c r="AH165" s="2">
        <v>0</v>
      </c>
      <c r="AI165" s="2">
        <v>0</v>
      </c>
      <c r="AJ165" s="2">
        <v>1</v>
      </c>
      <c r="AK165">
        <f t="shared" si="20"/>
        <v>0</v>
      </c>
      <c r="AL165" t="s">
        <v>43</v>
      </c>
    </row>
    <row r="166" spans="1:38" x14ac:dyDescent="0.35">
      <c r="A166">
        <v>186</v>
      </c>
      <c r="B166" t="s">
        <v>14</v>
      </c>
      <c r="C166">
        <v>1.42</v>
      </c>
      <c r="D166" s="5">
        <v>6</v>
      </c>
      <c r="E166" t="s">
        <v>160</v>
      </c>
      <c r="F166" t="s">
        <v>53</v>
      </c>
      <c r="G166" t="s">
        <v>166</v>
      </c>
      <c r="H166">
        <v>0</v>
      </c>
      <c r="I166" s="13">
        <v>0.25</v>
      </c>
      <c r="J166" s="2">
        <v>1</v>
      </c>
      <c r="K166">
        <v>1</v>
      </c>
      <c r="L166" s="2">
        <f t="shared" si="15"/>
        <v>0</v>
      </c>
      <c r="M166" s="9">
        <v>8</v>
      </c>
      <c r="N166" s="9">
        <v>6</v>
      </c>
      <c r="O166">
        <f t="shared" si="16"/>
        <v>-2</v>
      </c>
      <c r="P166">
        <v>1</v>
      </c>
      <c r="Q166">
        <v>1</v>
      </c>
      <c r="R166">
        <f t="shared" si="17"/>
        <v>0</v>
      </c>
      <c r="S166">
        <v>2</v>
      </c>
      <c r="T166">
        <v>1</v>
      </c>
      <c r="U166">
        <f t="shared" si="18"/>
        <v>-1</v>
      </c>
      <c r="V166">
        <v>1</v>
      </c>
      <c r="W166">
        <v>1</v>
      </c>
      <c r="X166">
        <f t="shared" si="19"/>
        <v>0</v>
      </c>
      <c r="Y166" s="2">
        <v>0</v>
      </c>
      <c r="Z166" s="2">
        <v>1</v>
      </c>
      <c r="AA166" s="2">
        <v>0</v>
      </c>
      <c r="AB166" s="2">
        <f t="shared" si="14"/>
        <v>1</v>
      </c>
      <c r="AC166" s="2">
        <v>0</v>
      </c>
      <c r="AD166" s="2">
        <v>1</v>
      </c>
      <c r="AE166" s="2">
        <v>0</v>
      </c>
      <c r="AF166" s="2">
        <v>1</v>
      </c>
      <c r="AG166" s="2">
        <v>0</v>
      </c>
      <c r="AH166" s="2">
        <v>0</v>
      </c>
      <c r="AI166" s="2">
        <v>1</v>
      </c>
      <c r="AJ166" s="2">
        <v>0</v>
      </c>
      <c r="AK166">
        <f t="shared" si="20"/>
        <v>0</v>
      </c>
      <c r="AL166" s="9" t="s">
        <v>39</v>
      </c>
    </row>
    <row r="167" spans="1:38" x14ac:dyDescent="0.35">
      <c r="A167">
        <v>187</v>
      </c>
      <c r="B167" t="s">
        <v>127</v>
      </c>
      <c r="C167" s="9">
        <v>1.81</v>
      </c>
      <c r="D167" s="5">
        <v>95</v>
      </c>
      <c r="E167" t="s">
        <v>61</v>
      </c>
      <c r="F167" t="s">
        <v>56</v>
      </c>
      <c r="G167" t="s">
        <v>166</v>
      </c>
      <c r="H167">
        <v>0</v>
      </c>
      <c r="I167" s="13">
        <v>1</v>
      </c>
      <c r="J167" s="2">
        <v>3</v>
      </c>
      <c r="K167">
        <v>3</v>
      </c>
      <c r="L167" s="2">
        <f t="shared" si="15"/>
        <v>0</v>
      </c>
      <c r="M167" s="9">
        <v>10</v>
      </c>
      <c r="N167" s="9">
        <v>8</v>
      </c>
      <c r="O167">
        <f t="shared" si="16"/>
        <v>-2</v>
      </c>
      <c r="P167">
        <v>2</v>
      </c>
      <c r="Q167">
        <v>2</v>
      </c>
      <c r="R167">
        <f t="shared" si="17"/>
        <v>0</v>
      </c>
      <c r="S167">
        <v>5</v>
      </c>
      <c r="T167">
        <v>3</v>
      </c>
      <c r="U167">
        <f t="shared" si="18"/>
        <v>-2</v>
      </c>
      <c r="V167">
        <v>0</v>
      </c>
      <c r="W167">
        <v>0</v>
      </c>
      <c r="X167">
        <f t="shared" si="19"/>
        <v>0</v>
      </c>
      <c r="Y167" s="2">
        <v>0</v>
      </c>
      <c r="Z167" s="2">
        <v>0</v>
      </c>
      <c r="AA167" s="2">
        <v>0</v>
      </c>
      <c r="AB167" s="2">
        <f t="shared" si="14"/>
        <v>0</v>
      </c>
      <c r="AC167" s="2">
        <v>0</v>
      </c>
      <c r="AD167" s="2">
        <v>1</v>
      </c>
      <c r="AE167" s="2">
        <v>0</v>
      </c>
      <c r="AF167" s="2">
        <v>1</v>
      </c>
      <c r="AG167" s="2">
        <v>0</v>
      </c>
      <c r="AH167" s="2">
        <v>0</v>
      </c>
      <c r="AI167" s="2">
        <v>1</v>
      </c>
      <c r="AJ167" s="2">
        <v>1</v>
      </c>
      <c r="AK167">
        <f t="shared" si="20"/>
        <v>0</v>
      </c>
      <c r="AL167" s="9" t="s">
        <v>39</v>
      </c>
    </row>
    <row r="168" spans="1:38" x14ac:dyDescent="0.35">
      <c r="A168">
        <v>188</v>
      </c>
      <c r="B168" t="s">
        <v>18</v>
      </c>
      <c r="C168">
        <v>-0.04</v>
      </c>
      <c r="D168" s="2">
        <v>60</v>
      </c>
      <c r="E168" t="s">
        <v>162</v>
      </c>
      <c r="F168" t="s">
        <v>55</v>
      </c>
      <c r="G168" t="s">
        <v>167</v>
      </c>
      <c r="H168">
        <v>0</v>
      </c>
      <c r="I168" s="13">
        <v>0.5</v>
      </c>
      <c r="J168" s="2">
        <v>5</v>
      </c>
      <c r="K168">
        <v>5</v>
      </c>
      <c r="L168" s="2">
        <f t="shared" si="15"/>
        <v>0</v>
      </c>
      <c r="M168" s="9">
        <v>6</v>
      </c>
      <c r="N168" s="9">
        <v>6</v>
      </c>
      <c r="O168">
        <f t="shared" si="16"/>
        <v>0</v>
      </c>
      <c r="P168">
        <v>2</v>
      </c>
      <c r="Q168">
        <v>2</v>
      </c>
      <c r="R168">
        <f t="shared" si="17"/>
        <v>0</v>
      </c>
      <c r="S168">
        <v>2</v>
      </c>
      <c r="T168">
        <v>2</v>
      </c>
      <c r="U168">
        <f t="shared" si="18"/>
        <v>0</v>
      </c>
      <c r="V168">
        <v>1</v>
      </c>
      <c r="W168">
        <v>1</v>
      </c>
      <c r="X168">
        <f t="shared" si="19"/>
        <v>0</v>
      </c>
      <c r="Y168" s="2">
        <v>0</v>
      </c>
      <c r="Z168" s="2">
        <v>1</v>
      </c>
      <c r="AA168" s="2">
        <v>0</v>
      </c>
      <c r="AB168" s="2">
        <f t="shared" si="14"/>
        <v>1</v>
      </c>
      <c r="AC168" s="2">
        <v>0</v>
      </c>
      <c r="AD168" s="2">
        <v>1</v>
      </c>
      <c r="AE168" s="2">
        <v>0</v>
      </c>
      <c r="AF168" s="2">
        <v>1</v>
      </c>
      <c r="AG168" s="2">
        <v>0</v>
      </c>
      <c r="AH168" s="2">
        <v>1</v>
      </c>
      <c r="AI168" s="2">
        <v>0</v>
      </c>
      <c r="AJ168" s="2">
        <v>1</v>
      </c>
      <c r="AK168">
        <f t="shared" si="20"/>
        <v>0</v>
      </c>
      <c r="AL168" t="s">
        <v>136</v>
      </c>
    </row>
    <row r="169" spans="1:38" x14ac:dyDescent="0.35">
      <c r="A169">
        <v>189</v>
      </c>
      <c r="B169" t="s">
        <v>18</v>
      </c>
      <c r="C169">
        <v>-0.04</v>
      </c>
      <c r="D169" s="2">
        <v>97</v>
      </c>
      <c r="E169" t="s">
        <v>160</v>
      </c>
      <c r="F169" t="s">
        <v>55</v>
      </c>
      <c r="G169" t="s">
        <v>166</v>
      </c>
      <c r="H169">
        <v>0</v>
      </c>
      <c r="I169" s="13">
        <v>0.25</v>
      </c>
      <c r="J169" s="2">
        <v>5</v>
      </c>
      <c r="K169">
        <v>5</v>
      </c>
      <c r="L169" s="2">
        <f t="shared" si="15"/>
        <v>0</v>
      </c>
      <c r="M169" s="9">
        <v>5</v>
      </c>
      <c r="N169" s="9">
        <v>4</v>
      </c>
      <c r="O169">
        <f t="shared" si="16"/>
        <v>-1</v>
      </c>
      <c r="P169">
        <v>3</v>
      </c>
      <c r="Q169">
        <v>3</v>
      </c>
      <c r="R169">
        <f t="shared" si="17"/>
        <v>0</v>
      </c>
      <c r="S169">
        <v>4</v>
      </c>
      <c r="T169">
        <v>2</v>
      </c>
      <c r="U169">
        <f t="shared" si="18"/>
        <v>-2</v>
      </c>
      <c r="V169">
        <v>1</v>
      </c>
      <c r="W169">
        <v>1</v>
      </c>
      <c r="X169">
        <f t="shared" si="19"/>
        <v>0</v>
      </c>
      <c r="Y169" s="2">
        <v>0</v>
      </c>
      <c r="Z169" s="2">
        <v>1</v>
      </c>
      <c r="AA169" s="2">
        <v>0</v>
      </c>
      <c r="AB169" s="2">
        <f t="shared" si="14"/>
        <v>1</v>
      </c>
      <c r="AC169" s="2">
        <v>0</v>
      </c>
      <c r="AD169" s="2">
        <v>1</v>
      </c>
      <c r="AE169" s="2">
        <v>0</v>
      </c>
      <c r="AF169" s="2">
        <v>0</v>
      </c>
      <c r="AG169" s="2">
        <v>0</v>
      </c>
      <c r="AH169" s="2">
        <v>0</v>
      </c>
      <c r="AI169" s="2">
        <v>0</v>
      </c>
      <c r="AJ169" s="2">
        <v>0</v>
      </c>
      <c r="AK169">
        <f t="shared" si="20"/>
        <v>0</v>
      </c>
      <c r="AL169" t="s">
        <v>136</v>
      </c>
    </row>
    <row r="170" spans="1:38" x14ac:dyDescent="0.35">
      <c r="A170">
        <v>190</v>
      </c>
      <c r="B170" t="s">
        <v>14</v>
      </c>
      <c r="C170">
        <v>1.42</v>
      </c>
      <c r="D170" s="2">
        <v>1</v>
      </c>
      <c r="E170" t="s">
        <v>160</v>
      </c>
      <c r="F170" t="s">
        <v>55</v>
      </c>
      <c r="G170" t="s">
        <v>166</v>
      </c>
      <c r="H170">
        <v>0</v>
      </c>
      <c r="I170" s="13">
        <v>0.75</v>
      </c>
      <c r="J170" s="2">
        <v>4</v>
      </c>
      <c r="K170">
        <v>1</v>
      </c>
      <c r="L170" s="2">
        <f t="shared" si="15"/>
        <v>-3</v>
      </c>
      <c r="M170" s="9">
        <v>9</v>
      </c>
      <c r="N170" s="9">
        <v>9</v>
      </c>
      <c r="O170">
        <f t="shared" si="16"/>
        <v>0</v>
      </c>
      <c r="P170" s="9">
        <v>2</v>
      </c>
      <c r="Q170" s="9">
        <v>2</v>
      </c>
      <c r="R170">
        <f t="shared" si="17"/>
        <v>0</v>
      </c>
      <c r="S170">
        <v>3</v>
      </c>
      <c r="T170">
        <v>3</v>
      </c>
      <c r="U170">
        <f t="shared" si="18"/>
        <v>0</v>
      </c>
      <c r="V170">
        <v>1</v>
      </c>
      <c r="W170">
        <v>1</v>
      </c>
      <c r="X170">
        <f t="shared" si="19"/>
        <v>0</v>
      </c>
      <c r="Y170" s="2">
        <v>0</v>
      </c>
      <c r="Z170" s="2">
        <v>0</v>
      </c>
      <c r="AA170" s="2">
        <v>0</v>
      </c>
      <c r="AB170" s="2">
        <f t="shared" si="14"/>
        <v>0</v>
      </c>
      <c r="AC170" s="2">
        <v>0</v>
      </c>
      <c r="AD170" s="2">
        <v>1</v>
      </c>
      <c r="AE170" s="2">
        <v>0</v>
      </c>
      <c r="AF170" s="2">
        <v>1</v>
      </c>
      <c r="AG170" s="2">
        <v>0</v>
      </c>
      <c r="AH170" s="2">
        <v>1</v>
      </c>
      <c r="AI170" s="2">
        <v>0</v>
      </c>
      <c r="AJ170" s="2">
        <v>0</v>
      </c>
      <c r="AK170">
        <f t="shared" si="20"/>
        <v>0</v>
      </c>
      <c r="AL170" t="s">
        <v>6</v>
      </c>
    </row>
    <row r="171" spans="1:38" x14ac:dyDescent="0.35">
      <c r="A171">
        <v>191</v>
      </c>
      <c r="B171" t="s">
        <v>16</v>
      </c>
      <c r="C171">
        <v>1.61</v>
      </c>
      <c r="D171" s="2">
        <v>7</v>
      </c>
      <c r="E171" t="s">
        <v>52</v>
      </c>
      <c r="F171" t="s">
        <v>53</v>
      </c>
      <c r="G171" t="s">
        <v>166</v>
      </c>
      <c r="H171">
        <v>0</v>
      </c>
      <c r="I171" s="13">
        <v>0.5</v>
      </c>
      <c r="J171" s="2">
        <v>9</v>
      </c>
      <c r="K171">
        <v>9</v>
      </c>
      <c r="L171" s="2">
        <f t="shared" si="15"/>
        <v>0</v>
      </c>
      <c r="M171" s="9">
        <v>10</v>
      </c>
      <c r="N171" s="9">
        <v>10</v>
      </c>
      <c r="O171">
        <f t="shared" si="16"/>
        <v>0</v>
      </c>
      <c r="P171" s="9">
        <v>3</v>
      </c>
      <c r="Q171" s="9">
        <v>3</v>
      </c>
      <c r="R171">
        <f t="shared" si="17"/>
        <v>0</v>
      </c>
      <c r="S171">
        <v>5</v>
      </c>
      <c r="T171">
        <v>4</v>
      </c>
      <c r="U171">
        <f t="shared" si="18"/>
        <v>-1</v>
      </c>
      <c r="V171">
        <v>1</v>
      </c>
      <c r="W171">
        <v>1</v>
      </c>
      <c r="X171">
        <f t="shared" si="19"/>
        <v>0</v>
      </c>
      <c r="Y171" s="2">
        <v>0</v>
      </c>
      <c r="Z171" s="2">
        <v>0</v>
      </c>
      <c r="AA171" s="2">
        <v>0</v>
      </c>
      <c r="AB171" s="2">
        <f t="shared" si="14"/>
        <v>0</v>
      </c>
      <c r="AC171" s="2">
        <v>0</v>
      </c>
      <c r="AD171" s="2">
        <v>1</v>
      </c>
      <c r="AE171" s="2">
        <v>0</v>
      </c>
      <c r="AF171" s="2">
        <v>1</v>
      </c>
      <c r="AG171" s="2">
        <v>0</v>
      </c>
      <c r="AH171" s="2">
        <v>0</v>
      </c>
      <c r="AI171" s="2">
        <v>1</v>
      </c>
      <c r="AJ171" s="2">
        <v>0</v>
      </c>
      <c r="AK171">
        <f t="shared" si="20"/>
        <v>0</v>
      </c>
      <c r="AL171" s="2" t="s">
        <v>9</v>
      </c>
    </row>
    <row r="172" spans="1:38" x14ac:dyDescent="0.35">
      <c r="A172" s="7">
        <v>192</v>
      </c>
      <c r="B172" s="7" t="s">
        <v>163</v>
      </c>
      <c r="C172" s="7">
        <v>-0.37</v>
      </c>
      <c r="D172" s="12">
        <v>14</v>
      </c>
      <c r="E172" s="7" t="s">
        <v>52</v>
      </c>
      <c r="F172" s="7" t="s">
        <v>54</v>
      </c>
      <c r="G172" t="s">
        <v>166</v>
      </c>
      <c r="H172" s="7">
        <v>1</v>
      </c>
      <c r="I172" s="16">
        <v>0.25</v>
      </c>
      <c r="J172" s="12">
        <v>3</v>
      </c>
      <c r="K172" s="7">
        <v>3</v>
      </c>
      <c r="L172" s="2">
        <f t="shared" si="15"/>
        <v>0</v>
      </c>
      <c r="M172" s="9">
        <v>9</v>
      </c>
      <c r="N172" s="9">
        <v>7</v>
      </c>
      <c r="O172">
        <f t="shared" si="16"/>
        <v>-2</v>
      </c>
      <c r="P172" s="9">
        <v>3</v>
      </c>
      <c r="Q172" s="9">
        <v>3</v>
      </c>
      <c r="R172">
        <f t="shared" si="17"/>
        <v>0</v>
      </c>
      <c r="S172">
        <v>4</v>
      </c>
      <c r="T172">
        <v>4</v>
      </c>
      <c r="U172">
        <f t="shared" si="18"/>
        <v>0</v>
      </c>
      <c r="V172">
        <v>1</v>
      </c>
      <c r="W172">
        <v>1</v>
      </c>
      <c r="X172">
        <f t="shared" si="19"/>
        <v>0</v>
      </c>
      <c r="Y172" s="12">
        <v>0</v>
      </c>
      <c r="Z172" s="12">
        <v>1</v>
      </c>
      <c r="AA172" s="12">
        <v>1</v>
      </c>
      <c r="AB172" s="12">
        <f t="shared" si="14"/>
        <v>1</v>
      </c>
      <c r="AC172" s="12">
        <v>1</v>
      </c>
      <c r="AD172" s="12">
        <v>0</v>
      </c>
      <c r="AE172" s="12">
        <v>0</v>
      </c>
      <c r="AF172" s="12">
        <v>1</v>
      </c>
      <c r="AG172" s="12">
        <v>0</v>
      </c>
      <c r="AH172" s="12">
        <v>0</v>
      </c>
      <c r="AI172" s="12">
        <v>0</v>
      </c>
      <c r="AJ172" s="12">
        <v>1</v>
      </c>
      <c r="AK172">
        <f t="shared" si="20"/>
        <v>0</v>
      </c>
      <c r="AL172" s="12" t="s">
        <v>137</v>
      </c>
    </row>
    <row r="173" spans="1:38" x14ac:dyDescent="0.35">
      <c r="A173" s="7">
        <v>193</v>
      </c>
      <c r="B173" s="7" t="s">
        <v>163</v>
      </c>
      <c r="C173" s="7">
        <v>-0.37</v>
      </c>
      <c r="D173" s="2">
        <v>7</v>
      </c>
      <c r="E173" s="7" t="s">
        <v>52</v>
      </c>
      <c r="F173" t="s">
        <v>55</v>
      </c>
      <c r="G173" s="7" t="s">
        <v>167</v>
      </c>
      <c r="H173" s="7">
        <v>1</v>
      </c>
      <c r="I173" s="13">
        <v>0.25</v>
      </c>
      <c r="J173" s="12">
        <v>4</v>
      </c>
      <c r="K173" s="7">
        <v>1</v>
      </c>
      <c r="L173" s="2">
        <f t="shared" si="15"/>
        <v>-3</v>
      </c>
      <c r="M173" s="9">
        <v>9</v>
      </c>
      <c r="N173" s="9">
        <v>6</v>
      </c>
      <c r="O173">
        <f t="shared" si="16"/>
        <v>-3</v>
      </c>
      <c r="P173" s="9">
        <v>3</v>
      </c>
      <c r="Q173" s="9">
        <v>3</v>
      </c>
      <c r="R173">
        <f t="shared" si="17"/>
        <v>0</v>
      </c>
      <c r="S173">
        <v>5</v>
      </c>
      <c r="T173">
        <v>3</v>
      </c>
      <c r="U173">
        <f t="shared" si="18"/>
        <v>-2</v>
      </c>
      <c r="V173">
        <v>2</v>
      </c>
      <c r="W173">
        <v>2</v>
      </c>
      <c r="X173">
        <f t="shared" si="19"/>
        <v>0</v>
      </c>
      <c r="Y173" s="2">
        <v>0</v>
      </c>
      <c r="Z173" s="2">
        <v>0</v>
      </c>
      <c r="AA173" s="2">
        <v>0</v>
      </c>
      <c r="AB173" s="2">
        <f t="shared" si="14"/>
        <v>0</v>
      </c>
      <c r="AC173" s="2">
        <v>0</v>
      </c>
      <c r="AD173" s="2">
        <v>0</v>
      </c>
      <c r="AE173" s="2">
        <v>0</v>
      </c>
      <c r="AF173" s="2">
        <v>0</v>
      </c>
      <c r="AG173" s="2">
        <v>1</v>
      </c>
      <c r="AH173" s="2">
        <v>0</v>
      </c>
      <c r="AI173" s="2">
        <v>0</v>
      </c>
      <c r="AJ173" s="2">
        <v>0</v>
      </c>
      <c r="AK173">
        <f t="shared" si="20"/>
        <v>0</v>
      </c>
      <c r="AL173" s="2" t="s">
        <v>140</v>
      </c>
    </row>
    <row r="174" spans="1:38" x14ac:dyDescent="0.35">
      <c r="A174" s="7">
        <v>194</v>
      </c>
      <c r="B174" s="7" t="s">
        <v>163</v>
      </c>
      <c r="C174" s="7">
        <v>-0.37</v>
      </c>
      <c r="D174" s="2">
        <v>90</v>
      </c>
      <c r="E174" s="7" t="s">
        <v>141</v>
      </c>
      <c r="F174" t="s">
        <v>53</v>
      </c>
      <c r="G174" t="s">
        <v>166</v>
      </c>
      <c r="H174" s="7">
        <v>1</v>
      </c>
      <c r="I174" s="13">
        <v>1</v>
      </c>
      <c r="J174" s="12">
        <v>3</v>
      </c>
      <c r="K174" s="7">
        <v>3</v>
      </c>
      <c r="L174" s="2">
        <f t="shared" si="15"/>
        <v>0</v>
      </c>
      <c r="M174" s="9">
        <v>6</v>
      </c>
      <c r="N174" s="9">
        <v>8</v>
      </c>
      <c r="O174">
        <f t="shared" si="16"/>
        <v>2</v>
      </c>
      <c r="P174" s="9">
        <v>1</v>
      </c>
      <c r="Q174" s="9">
        <v>1</v>
      </c>
      <c r="R174">
        <f t="shared" si="17"/>
        <v>0</v>
      </c>
      <c r="S174">
        <v>3</v>
      </c>
      <c r="T174">
        <v>3</v>
      </c>
      <c r="U174">
        <f t="shared" si="18"/>
        <v>0</v>
      </c>
      <c r="V174">
        <v>1</v>
      </c>
      <c r="W174">
        <v>1</v>
      </c>
      <c r="X174">
        <f t="shared" si="19"/>
        <v>0</v>
      </c>
      <c r="Y174" s="2">
        <v>0</v>
      </c>
      <c r="Z174" s="2">
        <v>0</v>
      </c>
      <c r="AA174" s="2">
        <v>0</v>
      </c>
      <c r="AB174" s="2">
        <f t="shared" si="14"/>
        <v>0</v>
      </c>
      <c r="AC174" s="2">
        <v>0</v>
      </c>
      <c r="AD174" s="2">
        <v>1</v>
      </c>
      <c r="AE174" s="2">
        <v>0</v>
      </c>
      <c r="AF174" s="2">
        <v>1</v>
      </c>
      <c r="AG174" s="2">
        <v>0</v>
      </c>
      <c r="AH174" s="2">
        <v>0</v>
      </c>
      <c r="AI174" s="2">
        <v>1</v>
      </c>
      <c r="AJ174" s="2">
        <v>0</v>
      </c>
      <c r="AK174">
        <f t="shared" si="20"/>
        <v>0</v>
      </c>
      <c r="AL174" s="2" t="s">
        <v>6</v>
      </c>
    </row>
    <row r="175" spans="1:38" x14ac:dyDescent="0.35">
      <c r="A175" s="7">
        <v>195</v>
      </c>
      <c r="B175" s="7" t="s">
        <v>16</v>
      </c>
      <c r="C175">
        <v>1.61</v>
      </c>
      <c r="D175" s="2">
        <v>38</v>
      </c>
      <c r="E175" s="7" t="s">
        <v>52</v>
      </c>
      <c r="F175" t="s">
        <v>55</v>
      </c>
      <c r="G175" t="s">
        <v>166</v>
      </c>
      <c r="H175" s="7">
        <v>1</v>
      </c>
      <c r="I175" s="13">
        <v>1</v>
      </c>
      <c r="J175" s="12">
        <v>4</v>
      </c>
      <c r="K175" s="7">
        <v>2</v>
      </c>
      <c r="L175" s="2">
        <f t="shared" si="15"/>
        <v>-2</v>
      </c>
      <c r="M175" s="9">
        <v>7</v>
      </c>
      <c r="N175" s="9">
        <v>1</v>
      </c>
      <c r="O175">
        <f t="shared" si="16"/>
        <v>-6</v>
      </c>
      <c r="P175" s="9">
        <v>3</v>
      </c>
      <c r="Q175" s="9">
        <v>3</v>
      </c>
      <c r="R175">
        <f t="shared" si="17"/>
        <v>0</v>
      </c>
      <c r="S175">
        <v>3</v>
      </c>
      <c r="T175">
        <v>4</v>
      </c>
      <c r="U175">
        <f t="shared" si="18"/>
        <v>1</v>
      </c>
      <c r="V175">
        <v>1</v>
      </c>
      <c r="W175">
        <v>2</v>
      </c>
      <c r="X175">
        <f t="shared" si="19"/>
        <v>1</v>
      </c>
      <c r="Y175" s="2">
        <v>0</v>
      </c>
      <c r="Z175" s="2">
        <v>1</v>
      </c>
      <c r="AA175" s="2">
        <v>0</v>
      </c>
      <c r="AB175" s="2">
        <f t="shared" ref="AB175:AB198" si="21">IF(Z175+AA175&gt;0,1,0)</f>
        <v>1</v>
      </c>
      <c r="AC175" s="2">
        <v>0</v>
      </c>
      <c r="AD175" s="2">
        <v>1</v>
      </c>
      <c r="AE175" s="2">
        <v>0</v>
      </c>
      <c r="AF175" s="2">
        <v>1</v>
      </c>
      <c r="AG175" s="2">
        <v>1</v>
      </c>
      <c r="AH175" s="2">
        <v>1</v>
      </c>
      <c r="AI175" s="2">
        <v>1</v>
      </c>
      <c r="AJ175" s="2">
        <v>0</v>
      </c>
      <c r="AK175">
        <f t="shared" si="20"/>
        <v>0</v>
      </c>
      <c r="AL175" s="2" t="s">
        <v>8</v>
      </c>
    </row>
    <row r="176" spans="1:38" x14ac:dyDescent="0.35">
      <c r="A176" s="7">
        <v>196</v>
      </c>
      <c r="B176" s="7" t="s">
        <v>16</v>
      </c>
      <c r="C176">
        <v>1.61</v>
      </c>
      <c r="D176" s="2">
        <v>45</v>
      </c>
      <c r="E176" s="7" t="s">
        <v>52</v>
      </c>
      <c r="F176" t="s">
        <v>55</v>
      </c>
      <c r="G176" s="7" t="s">
        <v>167</v>
      </c>
      <c r="H176">
        <v>0</v>
      </c>
      <c r="I176" s="13">
        <v>0</v>
      </c>
      <c r="J176" s="12">
        <v>1</v>
      </c>
      <c r="K176" s="7">
        <v>4</v>
      </c>
      <c r="L176" s="2">
        <f t="shared" si="15"/>
        <v>3</v>
      </c>
      <c r="M176" s="9">
        <v>3</v>
      </c>
      <c r="N176" s="9">
        <v>3</v>
      </c>
      <c r="O176">
        <f t="shared" si="16"/>
        <v>0</v>
      </c>
      <c r="P176" s="9">
        <v>2</v>
      </c>
      <c r="Q176" s="9">
        <v>3</v>
      </c>
      <c r="R176">
        <f t="shared" si="17"/>
        <v>1</v>
      </c>
      <c r="S176">
        <v>1</v>
      </c>
      <c r="T176">
        <v>1</v>
      </c>
      <c r="U176">
        <f t="shared" si="18"/>
        <v>0</v>
      </c>
      <c r="V176">
        <v>0</v>
      </c>
      <c r="W176">
        <v>0</v>
      </c>
      <c r="X176">
        <f t="shared" si="19"/>
        <v>0</v>
      </c>
      <c r="Y176" s="2">
        <v>0</v>
      </c>
      <c r="Z176" s="2">
        <v>0</v>
      </c>
      <c r="AA176" s="2">
        <v>0</v>
      </c>
      <c r="AB176" s="2">
        <f t="shared" si="21"/>
        <v>0</v>
      </c>
      <c r="AC176" s="2">
        <v>0</v>
      </c>
      <c r="AD176" s="2">
        <v>0</v>
      </c>
      <c r="AE176" s="2">
        <v>0</v>
      </c>
      <c r="AF176" s="2">
        <v>0</v>
      </c>
      <c r="AG176" s="2">
        <v>0</v>
      </c>
      <c r="AH176" s="2">
        <v>0</v>
      </c>
      <c r="AI176" s="2">
        <v>0</v>
      </c>
      <c r="AJ176" s="2">
        <v>0</v>
      </c>
      <c r="AK176">
        <f t="shared" si="20"/>
        <v>1</v>
      </c>
      <c r="AL176" s="2" t="s">
        <v>140</v>
      </c>
    </row>
    <row r="177" spans="1:38" x14ac:dyDescent="0.35">
      <c r="A177" s="7">
        <v>197</v>
      </c>
      <c r="B177" s="7" t="s">
        <v>16</v>
      </c>
      <c r="C177">
        <v>1.61</v>
      </c>
      <c r="D177" s="2">
        <v>37</v>
      </c>
      <c r="E177" s="7" t="s">
        <v>52</v>
      </c>
      <c r="F177" t="s">
        <v>54</v>
      </c>
      <c r="G177" t="s">
        <v>166</v>
      </c>
      <c r="H177" s="7">
        <v>1</v>
      </c>
      <c r="I177" s="13">
        <v>0.75</v>
      </c>
      <c r="J177" s="12">
        <v>2</v>
      </c>
      <c r="K177" s="7">
        <v>2</v>
      </c>
      <c r="L177" s="2">
        <f t="shared" si="15"/>
        <v>0</v>
      </c>
      <c r="M177" s="9">
        <v>8</v>
      </c>
      <c r="N177" s="9">
        <v>2</v>
      </c>
      <c r="O177">
        <f t="shared" si="16"/>
        <v>-6</v>
      </c>
      <c r="P177" s="9">
        <v>2</v>
      </c>
      <c r="Q177" s="9">
        <v>2</v>
      </c>
      <c r="R177">
        <f t="shared" si="17"/>
        <v>0</v>
      </c>
      <c r="S177">
        <v>3</v>
      </c>
      <c r="T177">
        <v>3</v>
      </c>
      <c r="U177">
        <f t="shared" si="18"/>
        <v>0</v>
      </c>
      <c r="V177">
        <v>1</v>
      </c>
      <c r="W177">
        <v>1</v>
      </c>
      <c r="X177">
        <f t="shared" si="19"/>
        <v>0</v>
      </c>
      <c r="Y177" s="2">
        <v>1</v>
      </c>
      <c r="Z177" s="2">
        <v>1</v>
      </c>
      <c r="AA177" s="2">
        <v>1</v>
      </c>
      <c r="AB177" s="2">
        <f t="shared" si="21"/>
        <v>1</v>
      </c>
      <c r="AC177" s="2">
        <v>1</v>
      </c>
      <c r="AD177" s="2">
        <v>1</v>
      </c>
      <c r="AE177" s="2">
        <v>0</v>
      </c>
      <c r="AF177" s="2">
        <v>1</v>
      </c>
      <c r="AG177" s="2">
        <v>0</v>
      </c>
      <c r="AH177" s="2">
        <v>0</v>
      </c>
      <c r="AI177" s="2">
        <v>1</v>
      </c>
      <c r="AJ177" s="2">
        <v>0</v>
      </c>
      <c r="AK177">
        <f t="shared" si="20"/>
        <v>0</v>
      </c>
      <c r="AL177" s="2" t="s">
        <v>137</v>
      </c>
    </row>
    <row r="178" spans="1:38" x14ac:dyDescent="0.35">
      <c r="A178" s="7">
        <v>198</v>
      </c>
      <c r="B178" s="7" t="s">
        <v>127</v>
      </c>
      <c r="C178" s="9">
        <v>1.81</v>
      </c>
      <c r="D178" s="2">
        <v>22</v>
      </c>
      <c r="E178" s="7" t="s">
        <v>162</v>
      </c>
      <c r="F178" t="s">
        <v>55</v>
      </c>
      <c r="G178" t="s">
        <v>166</v>
      </c>
      <c r="H178">
        <v>0</v>
      </c>
      <c r="I178" s="13">
        <v>0.5</v>
      </c>
      <c r="J178" s="12">
        <v>1</v>
      </c>
      <c r="K178" s="7">
        <v>1</v>
      </c>
      <c r="L178" s="2">
        <f t="shared" si="15"/>
        <v>0</v>
      </c>
      <c r="M178" s="9">
        <v>2</v>
      </c>
      <c r="N178" s="9">
        <v>2</v>
      </c>
      <c r="O178">
        <f t="shared" si="16"/>
        <v>0</v>
      </c>
      <c r="P178" s="9">
        <v>1</v>
      </c>
      <c r="Q178" s="9">
        <v>1</v>
      </c>
      <c r="R178">
        <f t="shared" si="17"/>
        <v>0</v>
      </c>
      <c r="S178">
        <v>1</v>
      </c>
      <c r="T178">
        <v>1</v>
      </c>
      <c r="U178">
        <f t="shared" si="18"/>
        <v>0</v>
      </c>
      <c r="V178">
        <v>1</v>
      </c>
      <c r="W178">
        <v>1</v>
      </c>
      <c r="X178">
        <f t="shared" si="19"/>
        <v>0</v>
      </c>
      <c r="Y178" s="2">
        <v>0</v>
      </c>
      <c r="Z178" s="2">
        <v>0</v>
      </c>
      <c r="AA178" s="2">
        <v>1</v>
      </c>
      <c r="AB178" s="2">
        <f t="shared" si="21"/>
        <v>1</v>
      </c>
      <c r="AC178" s="2">
        <v>1</v>
      </c>
      <c r="AD178" s="2">
        <v>0</v>
      </c>
      <c r="AE178" s="2">
        <v>0</v>
      </c>
      <c r="AF178" s="2">
        <v>0</v>
      </c>
      <c r="AG178" s="2">
        <v>0</v>
      </c>
      <c r="AH178" s="2">
        <v>0</v>
      </c>
      <c r="AI178" s="2">
        <v>1</v>
      </c>
      <c r="AJ178" s="2">
        <v>1</v>
      </c>
      <c r="AK178">
        <f t="shared" si="20"/>
        <v>0</v>
      </c>
      <c r="AL178" s="2" t="s">
        <v>138</v>
      </c>
    </row>
    <row r="179" spans="1:38" x14ac:dyDescent="0.35">
      <c r="A179" s="7">
        <v>199</v>
      </c>
      <c r="B179" s="7" t="s">
        <v>163</v>
      </c>
      <c r="C179" s="7">
        <v>-0.37</v>
      </c>
      <c r="D179" s="2">
        <v>134</v>
      </c>
      <c r="E179" s="7" t="s">
        <v>52</v>
      </c>
      <c r="F179" t="s">
        <v>56</v>
      </c>
      <c r="G179" t="s">
        <v>166</v>
      </c>
      <c r="H179" s="7">
        <v>1</v>
      </c>
      <c r="I179" s="13">
        <v>0</v>
      </c>
      <c r="J179" s="12">
        <v>6</v>
      </c>
      <c r="K179" s="7">
        <v>6</v>
      </c>
      <c r="L179" s="2">
        <f t="shared" si="15"/>
        <v>0</v>
      </c>
      <c r="M179" s="9">
        <v>10</v>
      </c>
      <c r="N179" s="9">
        <v>10</v>
      </c>
      <c r="O179">
        <f t="shared" si="16"/>
        <v>0</v>
      </c>
      <c r="P179" s="9">
        <v>2</v>
      </c>
      <c r="Q179" s="9">
        <v>2</v>
      </c>
      <c r="R179">
        <f t="shared" si="17"/>
        <v>0</v>
      </c>
      <c r="S179">
        <v>5</v>
      </c>
      <c r="T179">
        <v>5</v>
      </c>
      <c r="U179">
        <f t="shared" si="18"/>
        <v>0</v>
      </c>
      <c r="V179">
        <v>1</v>
      </c>
      <c r="W179">
        <v>1</v>
      </c>
      <c r="X179">
        <f t="shared" si="19"/>
        <v>0</v>
      </c>
      <c r="Y179" s="2">
        <v>0</v>
      </c>
      <c r="Z179" s="2">
        <v>0</v>
      </c>
      <c r="AA179" s="2">
        <v>0</v>
      </c>
      <c r="AB179" s="2">
        <f t="shared" si="21"/>
        <v>0</v>
      </c>
      <c r="AC179" s="2">
        <v>1</v>
      </c>
      <c r="AD179" s="2">
        <v>1</v>
      </c>
      <c r="AE179" s="2">
        <v>0</v>
      </c>
      <c r="AF179" s="2">
        <v>0</v>
      </c>
      <c r="AG179" s="2">
        <v>1</v>
      </c>
      <c r="AH179" s="2">
        <v>0</v>
      </c>
      <c r="AI179" s="2">
        <v>0</v>
      </c>
      <c r="AJ179" s="2">
        <v>0</v>
      </c>
      <c r="AK179">
        <f t="shared" si="20"/>
        <v>0</v>
      </c>
      <c r="AL179" s="2" t="s">
        <v>140</v>
      </c>
    </row>
    <row r="180" spans="1:38" x14ac:dyDescent="0.35">
      <c r="A180" s="7">
        <v>200</v>
      </c>
      <c r="B180" s="7" t="s">
        <v>163</v>
      </c>
      <c r="C180" s="7">
        <v>-0.37</v>
      </c>
      <c r="D180" s="2">
        <v>80</v>
      </c>
      <c r="E180" s="7" t="s">
        <v>52</v>
      </c>
      <c r="F180" t="s">
        <v>54</v>
      </c>
      <c r="G180" t="s">
        <v>166</v>
      </c>
      <c r="H180" s="7">
        <v>1</v>
      </c>
      <c r="I180" s="13">
        <v>0.25</v>
      </c>
      <c r="J180" s="12">
        <v>2</v>
      </c>
      <c r="K180" s="7">
        <v>2</v>
      </c>
      <c r="L180" s="2">
        <f t="shared" si="15"/>
        <v>0</v>
      </c>
      <c r="M180" s="9">
        <v>8</v>
      </c>
      <c r="N180" s="9">
        <v>8</v>
      </c>
      <c r="O180">
        <f t="shared" si="16"/>
        <v>0</v>
      </c>
      <c r="P180" s="9">
        <v>1</v>
      </c>
      <c r="Q180" s="9">
        <v>1</v>
      </c>
      <c r="R180">
        <f t="shared" si="17"/>
        <v>0</v>
      </c>
      <c r="S180">
        <v>4</v>
      </c>
      <c r="T180">
        <v>4</v>
      </c>
      <c r="U180">
        <f t="shared" si="18"/>
        <v>0</v>
      </c>
      <c r="V180">
        <v>1</v>
      </c>
      <c r="W180">
        <v>1</v>
      </c>
      <c r="X180">
        <f t="shared" si="19"/>
        <v>0</v>
      </c>
      <c r="Y180" s="12">
        <v>0</v>
      </c>
      <c r="Z180" s="2">
        <v>0</v>
      </c>
      <c r="AA180" s="2">
        <v>0</v>
      </c>
      <c r="AB180" s="2">
        <f t="shared" si="21"/>
        <v>0</v>
      </c>
      <c r="AC180" s="2">
        <v>0</v>
      </c>
      <c r="AD180" s="2">
        <v>0</v>
      </c>
      <c r="AE180" s="2">
        <v>0</v>
      </c>
      <c r="AF180" s="2">
        <v>1</v>
      </c>
      <c r="AG180" s="2">
        <v>0</v>
      </c>
      <c r="AH180" s="2">
        <v>0</v>
      </c>
      <c r="AI180" s="2">
        <v>0</v>
      </c>
      <c r="AJ180" s="2">
        <v>0</v>
      </c>
      <c r="AK180">
        <f t="shared" si="20"/>
        <v>0</v>
      </c>
      <c r="AL180" s="2" t="s">
        <v>140</v>
      </c>
    </row>
    <row r="181" spans="1:38" x14ac:dyDescent="0.35">
      <c r="A181" s="7">
        <v>201</v>
      </c>
      <c r="B181" s="7" t="s">
        <v>163</v>
      </c>
      <c r="C181" s="7">
        <v>-0.37</v>
      </c>
      <c r="D181" s="2">
        <v>14</v>
      </c>
      <c r="E181" s="7" t="s">
        <v>52</v>
      </c>
      <c r="F181" t="s">
        <v>56</v>
      </c>
      <c r="G181" s="7" t="s">
        <v>167</v>
      </c>
      <c r="H181" s="7">
        <v>1</v>
      </c>
      <c r="I181" s="13">
        <v>0.5</v>
      </c>
      <c r="J181" s="12">
        <v>10</v>
      </c>
      <c r="K181" s="7">
        <v>8</v>
      </c>
      <c r="L181" s="2">
        <f t="shared" si="15"/>
        <v>-2</v>
      </c>
      <c r="M181" s="9">
        <v>5</v>
      </c>
      <c r="N181" s="9">
        <v>4</v>
      </c>
      <c r="O181">
        <f t="shared" si="16"/>
        <v>-1</v>
      </c>
      <c r="P181" s="9">
        <v>2</v>
      </c>
      <c r="Q181" s="9">
        <v>2</v>
      </c>
      <c r="R181">
        <f t="shared" si="17"/>
        <v>0</v>
      </c>
      <c r="S181">
        <v>3</v>
      </c>
      <c r="T181">
        <v>4</v>
      </c>
      <c r="U181">
        <f t="shared" si="18"/>
        <v>1</v>
      </c>
      <c r="V181">
        <v>1</v>
      </c>
      <c r="W181">
        <v>1</v>
      </c>
      <c r="X181">
        <f t="shared" si="19"/>
        <v>0</v>
      </c>
      <c r="Y181" s="12">
        <v>0</v>
      </c>
      <c r="Z181" s="2">
        <v>1</v>
      </c>
      <c r="AA181" s="2">
        <v>0</v>
      </c>
      <c r="AB181" s="2">
        <f t="shared" si="21"/>
        <v>1</v>
      </c>
      <c r="AC181" s="2">
        <v>0</v>
      </c>
      <c r="AD181" s="2">
        <v>1</v>
      </c>
      <c r="AE181" s="2">
        <v>0</v>
      </c>
      <c r="AF181" s="2">
        <v>1</v>
      </c>
      <c r="AG181" s="2">
        <v>1</v>
      </c>
      <c r="AH181" s="2">
        <v>0</v>
      </c>
      <c r="AI181" s="2">
        <v>1</v>
      </c>
      <c r="AJ181" s="2">
        <v>0</v>
      </c>
      <c r="AK181">
        <f t="shared" si="20"/>
        <v>0</v>
      </c>
      <c r="AL181" s="2" t="s">
        <v>6</v>
      </c>
    </row>
    <row r="182" spans="1:38" x14ac:dyDescent="0.35">
      <c r="A182" s="7">
        <v>202</v>
      </c>
      <c r="B182" s="7" t="s">
        <v>127</v>
      </c>
      <c r="C182" s="9">
        <v>1.81</v>
      </c>
      <c r="D182" s="2">
        <v>52</v>
      </c>
      <c r="E182" s="7" t="s">
        <v>61</v>
      </c>
      <c r="F182" t="s">
        <v>55</v>
      </c>
      <c r="G182" t="s">
        <v>166</v>
      </c>
      <c r="H182">
        <v>0</v>
      </c>
      <c r="I182" s="13">
        <v>0</v>
      </c>
      <c r="J182" s="12">
        <v>3</v>
      </c>
      <c r="K182" s="7">
        <v>3</v>
      </c>
      <c r="L182" s="2">
        <f t="shared" si="15"/>
        <v>0</v>
      </c>
      <c r="M182" s="9">
        <v>5</v>
      </c>
      <c r="N182" s="9">
        <v>5</v>
      </c>
      <c r="O182">
        <f t="shared" si="16"/>
        <v>0</v>
      </c>
      <c r="P182" s="9">
        <v>1</v>
      </c>
      <c r="Q182" s="9">
        <v>1</v>
      </c>
      <c r="R182">
        <f t="shared" si="17"/>
        <v>0</v>
      </c>
      <c r="S182">
        <v>1</v>
      </c>
      <c r="T182">
        <v>1</v>
      </c>
      <c r="U182">
        <f t="shared" si="18"/>
        <v>0</v>
      </c>
      <c r="V182">
        <v>0</v>
      </c>
      <c r="W182">
        <v>1</v>
      </c>
      <c r="X182">
        <f t="shared" si="19"/>
        <v>1</v>
      </c>
      <c r="Y182" s="12">
        <v>0</v>
      </c>
      <c r="Z182" s="2">
        <v>0</v>
      </c>
      <c r="AA182" s="2">
        <v>0</v>
      </c>
      <c r="AB182" s="2">
        <f t="shared" si="21"/>
        <v>0</v>
      </c>
      <c r="AC182" s="2">
        <v>0</v>
      </c>
      <c r="AD182" s="2">
        <v>0</v>
      </c>
      <c r="AE182" s="2">
        <v>0</v>
      </c>
      <c r="AF182" s="2">
        <v>1</v>
      </c>
      <c r="AG182" s="2">
        <v>0</v>
      </c>
      <c r="AH182" s="2">
        <v>0</v>
      </c>
      <c r="AI182" s="2">
        <v>0</v>
      </c>
      <c r="AJ182" s="2">
        <v>0</v>
      </c>
      <c r="AK182">
        <f t="shared" si="20"/>
        <v>0</v>
      </c>
      <c r="AL182" s="2" t="s">
        <v>140</v>
      </c>
    </row>
    <row r="183" spans="1:38" x14ac:dyDescent="0.35">
      <c r="A183" s="7">
        <v>203</v>
      </c>
      <c r="B183" s="7" t="s">
        <v>127</v>
      </c>
      <c r="C183" s="9">
        <v>1.81</v>
      </c>
      <c r="D183" s="5">
        <v>21</v>
      </c>
      <c r="E183" s="7" t="s">
        <v>162</v>
      </c>
      <c r="F183" t="s">
        <v>55</v>
      </c>
      <c r="G183" t="s">
        <v>166</v>
      </c>
      <c r="H183">
        <v>0</v>
      </c>
      <c r="I183" s="13">
        <v>0</v>
      </c>
      <c r="J183" s="12">
        <v>3</v>
      </c>
      <c r="K183" s="7">
        <v>3</v>
      </c>
      <c r="L183" s="2">
        <f t="shared" si="15"/>
        <v>0</v>
      </c>
      <c r="M183" s="9">
        <v>6</v>
      </c>
      <c r="N183" s="9">
        <v>6</v>
      </c>
      <c r="O183">
        <f t="shared" si="16"/>
        <v>0</v>
      </c>
      <c r="P183" s="9">
        <v>3</v>
      </c>
      <c r="Q183" s="9">
        <v>3</v>
      </c>
      <c r="R183">
        <f t="shared" si="17"/>
        <v>0</v>
      </c>
      <c r="S183">
        <v>5</v>
      </c>
      <c r="T183">
        <v>5</v>
      </c>
      <c r="U183">
        <f t="shared" si="18"/>
        <v>0</v>
      </c>
      <c r="V183">
        <v>0</v>
      </c>
      <c r="W183">
        <v>0</v>
      </c>
      <c r="X183">
        <f t="shared" si="19"/>
        <v>0</v>
      </c>
      <c r="Y183" s="12">
        <v>0</v>
      </c>
      <c r="Z183" s="2">
        <v>0</v>
      </c>
      <c r="AA183" s="2">
        <v>0</v>
      </c>
      <c r="AB183" s="2">
        <f t="shared" si="21"/>
        <v>0</v>
      </c>
      <c r="AC183" s="2">
        <v>0</v>
      </c>
      <c r="AD183" s="2">
        <v>0</v>
      </c>
      <c r="AE183" s="2">
        <v>0</v>
      </c>
      <c r="AF183" s="2">
        <v>0</v>
      </c>
      <c r="AG183" s="2">
        <v>0</v>
      </c>
      <c r="AH183" s="2">
        <v>0</v>
      </c>
      <c r="AI183" s="2">
        <v>0</v>
      </c>
      <c r="AJ183" s="2">
        <v>0</v>
      </c>
      <c r="AK183">
        <f t="shared" si="20"/>
        <v>1</v>
      </c>
      <c r="AL183" s="5" t="s">
        <v>140</v>
      </c>
    </row>
    <row r="184" spans="1:38" x14ac:dyDescent="0.35">
      <c r="A184" s="7">
        <v>204</v>
      </c>
      <c r="B184" s="7" t="s">
        <v>127</v>
      </c>
      <c r="C184" s="9">
        <v>1.81</v>
      </c>
      <c r="D184" s="2">
        <v>49</v>
      </c>
      <c r="E184" s="7" t="s">
        <v>61</v>
      </c>
      <c r="F184" t="s">
        <v>53</v>
      </c>
      <c r="G184" t="s">
        <v>166</v>
      </c>
      <c r="H184">
        <v>0</v>
      </c>
      <c r="I184" s="13">
        <v>0</v>
      </c>
      <c r="J184" s="12">
        <v>3</v>
      </c>
      <c r="K184" s="7">
        <v>3</v>
      </c>
      <c r="L184" s="2">
        <f t="shared" si="15"/>
        <v>0</v>
      </c>
      <c r="M184" s="9">
        <v>7</v>
      </c>
      <c r="N184" s="9">
        <v>7</v>
      </c>
      <c r="O184">
        <f t="shared" si="16"/>
        <v>0</v>
      </c>
      <c r="P184" s="9">
        <v>1</v>
      </c>
      <c r="Q184" s="9">
        <v>1</v>
      </c>
      <c r="R184">
        <f t="shared" si="17"/>
        <v>0</v>
      </c>
      <c r="S184">
        <v>3</v>
      </c>
      <c r="T184">
        <v>3</v>
      </c>
      <c r="U184">
        <f t="shared" si="18"/>
        <v>0</v>
      </c>
      <c r="V184">
        <v>1</v>
      </c>
      <c r="W184">
        <v>1</v>
      </c>
      <c r="X184">
        <f t="shared" si="19"/>
        <v>0</v>
      </c>
      <c r="Y184" s="12">
        <v>0</v>
      </c>
      <c r="Z184" s="2">
        <v>0</v>
      </c>
      <c r="AA184" s="2">
        <v>0</v>
      </c>
      <c r="AB184" s="2">
        <f t="shared" si="21"/>
        <v>0</v>
      </c>
      <c r="AC184" s="2">
        <v>0</v>
      </c>
      <c r="AD184" s="2">
        <v>0</v>
      </c>
      <c r="AE184" s="2">
        <v>0</v>
      </c>
      <c r="AF184" s="2">
        <v>0</v>
      </c>
      <c r="AG184" s="2">
        <v>0</v>
      </c>
      <c r="AH184" s="2">
        <v>0</v>
      </c>
      <c r="AI184" s="2">
        <v>0</v>
      </c>
      <c r="AJ184" s="2">
        <v>0</v>
      </c>
      <c r="AK184">
        <f t="shared" si="20"/>
        <v>1</v>
      </c>
      <c r="AL184" s="2" t="s">
        <v>140</v>
      </c>
    </row>
    <row r="185" spans="1:38" x14ac:dyDescent="0.35">
      <c r="A185" s="7">
        <v>205</v>
      </c>
      <c r="B185" s="7" t="s">
        <v>18</v>
      </c>
      <c r="C185">
        <v>-0.04</v>
      </c>
      <c r="D185" s="5">
        <v>12</v>
      </c>
      <c r="E185" s="7" t="s">
        <v>61</v>
      </c>
      <c r="F185" t="s">
        <v>56</v>
      </c>
      <c r="G185" s="7" t="s">
        <v>167</v>
      </c>
      <c r="H185">
        <v>0</v>
      </c>
      <c r="I185" s="13">
        <v>0.25</v>
      </c>
      <c r="J185" s="12">
        <v>2</v>
      </c>
      <c r="K185" s="7">
        <v>2</v>
      </c>
      <c r="L185" s="2">
        <f t="shared" si="15"/>
        <v>0</v>
      </c>
      <c r="M185" s="9">
        <v>3</v>
      </c>
      <c r="N185" s="9">
        <v>3</v>
      </c>
      <c r="O185">
        <f t="shared" si="16"/>
        <v>0</v>
      </c>
      <c r="P185" s="9">
        <v>1</v>
      </c>
      <c r="Q185" s="9">
        <v>1</v>
      </c>
      <c r="R185">
        <f t="shared" si="17"/>
        <v>0</v>
      </c>
      <c r="S185">
        <v>1</v>
      </c>
      <c r="T185">
        <v>2</v>
      </c>
      <c r="U185">
        <f t="shared" si="18"/>
        <v>1</v>
      </c>
      <c r="V185">
        <v>0</v>
      </c>
      <c r="W185">
        <v>1</v>
      </c>
      <c r="X185">
        <f t="shared" si="19"/>
        <v>1</v>
      </c>
      <c r="Y185" s="12">
        <v>0</v>
      </c>
      <c r="Z185" s="2">
        <v>0</v>
      </c>
      <c r="AA185" s="2">
        <v>0</v>
      </c>
      <c r="AB185" s="2">
        <f t="shared" si="21"/>
        <v>0</v>
      </c>
      <c r="AC185" s="2">
        <v>0</v>
      </c>
      <c r="AD185" s="2">
        <v>1</v>
      </c>
      <c r="AE185" s="2">
        <v>0</v>
      </c>
      <c r="AF185" s="2">
        <v>1</v>
      </c>
      <c r="AG185" s="2">
        <v>0</v>
      </c>
      <c r="AH185" s="2">
        <v>0</v>
      </c>
      <c r="AI185" s="2">
        <v>0</v>
      </c>
      <c r="AJ185" s="2">
        <v>1</v>
      </c>
      <c r="AK185">
        <f t="shared" si="20"/>
        <v>0</v>
      </c>
      <c r="AL185" s="5" t="s">
        <v>39</v>
      </c>
    </row>
    <row r="186" spans="1:38" x14ac:dyDescent="0.35">
      <c r="A186" s="7">
        <v>206</v>
      </c>
      <c r="B186" s="7" t="s">
        <v>18</v>
      </c>
      <c r="C186">
        <v>-0.04</v>
      </c>
      <c r="D186" s="5">
        <v>13</v>
      </c>
      <c r="E186" s="7" t="s">
        <v>160</v>
      </c>
      <c r="F186" t="s">
        <v>53</v>
      </c>
      <c r="G186" t="s">
        <v>166</v>
      </c>
      <c r="H186">
        <v>0</v>
      </c>
      <c r="I186" s="13">
        <v>0.25</v>
      </c>
      <c r="J186" s="12">
        <v>3</v>
      </c>
      <c r="K186" s="7">
        <v>3</v>
      </c>
      <c r="L186" s="2">
        <f t="shared" si="15"/>
        <v>0</v>
      </c>
      <c r="M186" s="9">
        <v>8</v>
      </c>
      <c r="N186" s="9">
        <v>7</v>
      </c>
      <c r="O186">
        <f t="shared" si="16"/>
        <v>-1</v>
      </c>
      <c r="P186" s="9">
        <v>2</v>
      </c>
      <c r="Q186" s="9">
        <v>2</v>
      </c>
      <c r="R186">
        <f t="shared" si="17"/>
        <v>0</v>
      </c>
      <c r="S186">
        <v>2</v>
      </c>
      <c r="T186">
        <v>2</v>
      </c>
      <c r="U186">
        <f t="shared" si="18"/>
        <v>0</v>
      </c>
      <c r="V186">
        <v>0</v>
      </c>
      <c r="W186">
        <v>1</v>
      </c>
      <c r="X186">
        <f t="shared" si="19"/>
        <v>1</v>
      </c>
      <c r="Y186" s="12">
        <v>0</v>
      </c>
      <c r="Z186" s="2">
        <v>0</v>
      </c>
      <c r="AA186" s="2">
        <v>0</v>
      </c>
      <c r="AB186" s="2">
        <f t="shared" si="21"/>
        <v>0</v>
      </c>
      <c r="AC186" s="2">
        <v>0</v>
      </c>
      <c r="AD186" s="2">
        <v>0</v>
      </c>
      <c r="AE186" s="2">
        <v>0</v>
      </c>
      <c r="AF186" s="2">
        <v>1</v>
      </c>
      <c r="AG186" s="2">
        <v>0</v>
      </c>
      <c r="AH186" s="2">
        <v>0</v>
      </c>
      <c r="AI186" s="2">
        <v>1</v>
      </c>
      <c r="AJ186" s="2">
        <v>0</v>
      </c>
      <c r="AK186">
        <f t="shared" si="20"/>
        <v>0</v>
      </c>
      <c r="AL186" s="5" t="s">
        <v>39</v>
      </c>
    </row>
    <row r="187" spans="1:38" x14ac:dyDescent="0.35">
      <c r="A187" s="7">
        <v>207</v>
      </c>
      <c r="B187" s="7" t="s">
        <v>163</v>
      </c>
      <c r="C187" s="7">
        <v>-0.37</v>
      </c>
      <c r="D187" s="2">
        <v>14</v>
      </c>
      <c r="E187" s="7" t="s">
        <v>162</v>
      </c>
      <c r="F187" t="s">
        <v>55</v>
      </c>
      <c r="G187" t="s">
        <v>166</v>
      </c>
      <c r="H187" s="7">
        <v>1</v>
      </c>
      <c r="I187" s="13">
        <v>0.25</v>
      </c>
      <c r="J187" s="12">
        <v>2</v>
      </c>
      <c r="K187" s="7">
        <v>2</v>
      </c>
      <c r="L187" s="2">
        <f t="shared" si="15"/>
        <v>0</v>
      </c>
      <c r="M187" s="9">
        <v>8</v>
      </c>
      <c r="N187" s="9">
        <v>7</v>
      </c>
      <c r="O187">
        <f t="shared" si="16"/>
        <v>-1</v>
      </c>
      <c r="P187" s="9">
        <v>3</v>
      </c>
      <c r="Q187" s="9">
        <v>3</v>
      </c>
      <c r="R187">
        <f t="shared" si="17"/>
        <v>0</v>
      </c>
      <c r="S187">
        <v>5</v>
      </c>
      <c r="T187">
        <v>3</v>
      </c>
      <c r="U187">
        <f t="shared" si="18"/>
        <v>-2</v>
      </c>
      <c r="V187">
        <v>2</v>
      </c>
      <c r="W187">
        <v>2</v>
      </c>
      <c r="X187">
        <f t="shared" si="19"/>
        <v>0</v>
      </c>
      <c r="Y187" s="12">
        <v>0</v>
      </c>
      <c r="Z187" s="2">
        <v>1</v>
      </c>
      <c r="AA187" s="2">
        <v>0</v>
      </c>
      <c r="AB187" s="2">
        <f t="shared" si="21"/>
        <v>1</v>
      </c>
      <c r="AC187" s="2">
        <v>0</v>
      </c>
      <c r="AD187" s="2">
        <v>1</v>
      </c>
      <c r="AE187" s="2">
        <v>0</v>
      </c>
      <c r="AF187" s="2">
        <v>1</v>
      </c>
      <c r="AG187" s="2">
        <v>0</v>
      </c>
      <c r="AH187" s="2">
        <v>1</v>
      </c>
      <c r="AI187" s="2">
        <v>1</v>
      </c>
      <c r="AJ187" s="2">
        <v>0</v>
      </c>
      <c r="AK187">
        <f t="shared" si="20"/>
        <v>0</v>
      </c>
      <c r="AL187" s="2" t="s">
        <v>136</v>
      </c>
    </row>
    <row r="188" spans="1:38" x14ac:dyDescent="0.35">
      <c r="A188" s="7">
        <v>208</v>
      </c>
      <c r="B188" s="7" t="s">
        <v>127</v>
      </c>
      <c r="C188" s="9">
        <v>1.81</v>
      </c>
      <c r="D188" s="2">
        <v>12</v>
      </c>
      <c r="E188" s="7" t="s">
        <v>141</v>
      </c>
      <c r="F188" t="s">
        <v>53</v>
      </c>
      <c r="G188" t="s">
        <v>166</v>
      </c>
      <c r="H188">
        <v>0</v>
      </c>
      <c r="I188" s="13">
        <v>0.75</v>
      </c>
      <c r="J188" s="12">
        <v>4</v>
      </c>
      <c r="K188" s="7">
        <v>4</v>
      </c>
      <c r="L188" s="2">
        <f t="shared" si="15"/>
        <v>0</v>
      </c>
      <c r="M188" s="9">
        <v>8</v>
      </c>
      <c r="N188" s="9">
        <v>2</v>
      </c>
      <c r="O188">
        <f t="shared" si="16"/>
        <v>-6</v>
      </c>
      <c r="P188" s="9">
        <v>3</v>
      </c>
      <c r="Q188" s="9">
        <v>3</v>
      </c>
      <c r="R188">
        <f t="shared" si="17"/>
        <v>0</v>
      </c>
      <c r="S188">
        <v>1</v>
      </c>
      <c r="T188">
        <v>1</v>
      </c>
      <c r="U188">
        <f t="shared" si="18"/>
        <v>0</v>
      </c>
      <c r="V188">
        <v>1</v>
      </c>
      <c r="W188">
        <v>1</v>
      </c>
      <c r="X188">
        <f t="shared" si="19"/>
        <v>0</v>
      </c>
      <c r="Y188" s="12">
        <v>0</v>
      </c>
      <c r="Z188" s="2">
        <v>1</v>
      </c>
      <c r="AA188" s="2">
        <v>0</v>
      </c>
      <c r="AB188" s="2">
        <f t="shared" si="21"/>
        <v>1</v>
      </c>
      <c r="AC188" s="2">
        <v>0</v>
      </c>
      <c r="AD188" s="2">
        <v>0</v>
      </c>
      <c r="AE188" s="2">
        <v>0</v>
      </c>
      <c r="AF188" s="2">
        <v>1</v>
      </c>
      <c r="AG188" s="2">
        <v>0</v>
      </c>
      <c r="AH188" s="2">
        <v>0</v>
      </c>
      <c r="AI188" s="2">
        <v>0</v>
      </c>
      <c r="AJ188" s="2">
        <v>1</v>
      </c>
      <c r="AK188">
        <f t="shared" si="20"/>
        <v>0</v>
      </c>
      <c r="AL188" s="2" t="s">
        <v>43</v>
      </c>
    </row>
    <row r="189" spans="1:38" x14ac:dyDescent="0.35">
      <c r="A189" s="7">
        <v>209</v>
      </c>
      <c r="B189" s="7" t="s">
        <v>163</v>
      </c>
      <c r="C189" s="7">
        <v>-0.37</v>
      </c>
      <c r="D189" s="2">
        <v>40</v>
      </c>
      <c r="E189" s="7" t="s">
        <v>52</v>
      </c>
      <c r="F189" t="s">
        <v>56</v>
      </c>
      <c r="G189" t="s">
        <v>166</v>
      </c>
      <c r="H189" s="7">
        <v>1</v>
      </c>
      <c r="I189" s="13">
        <v>0.25</v>
      </c>
      <c r="J189" s="12">
        <v>10</v>
      </c>
      <c r="K189" s="7">
        <v>7</v>
      </c>
      <c r="L189" s="2">
        <f t="shared" si="15"/>
        <v>-3</v>
      </c>
      <c r="M189" s="9">
        <v>5</v>
      </c>
      <c r="N189" s="9">
        <v>3</v>
      </c>
      <c r="O189">
        <f t="shared" si="16"/>
        <v>-2</v>
      </c>
      <c r="P189" s="9">
        <v>1</v>
      </c>
      <c r="Q189" s="9">
        <v>2</v>
      </c>
      <c r="R189">
        <f t="shared" si="17"/>
        <v>1</v>
      </c>
      <c r="S189">
        <v>5</v>
      </c>
      <c r="T189">
        <v>3</v>
      </c>
      <c r="U189">
        <f t="shared" si="18"/>
        <v>-2</v>
      </c>
      <c r="V189">
        <v>1</v>
      </c>
      <c r="W189">
        <v>2</v>
      </c>
      <c r="X189">
        <f t="shared" si="19"/>
        <v>1</v>
      </c>
      <c r="Y189" s="12">
        <v>0</v>
      </c>
      <c r="Z189" s="2">
        <v>0</v>
      </c>
      <c r="AA189" s="2">
        <v>1</v>
      </c>
      <c r="AB189" s="2">
        <f t="shared" si="21"/>
        <v>1</v>
      </c>
      <c r="AC189" s="2">
        <v>0</v>
      </c>
      <c r="AD189" s="2">
        <v>1</v>
      </c>
      <c r="AE189" s="2">
        <v>0</v>
      </c>
      <c r="AF189" s="2">
        <v>0</v>
      </c>
      <c r="AG189" s="2">
        <v>1</v>
      </c>
      <c r="AH189" s="2">
        <v>0</v>
      </c>
      <c r="AI189" s="2">
        <v>1</v>
      </c>
      <c r="AJ189" s="2">
        <v>0</v>
      </c>
      <c r="AK189">
        <f t="shared" si="20"/>
        <v>0</v>
      </c>
      <c r="AL189" s="2" t="s">
        <v>6</v>
      </c>
    </row>
    <row r="190" spans="1:38" x14ac:dyDescent="0.35">
      <c r="A190" s="7">
        <v>210</v>
      </c>
      <c r="B190" t="s">
        <v>16</v>
      </c>
      <c r="C190">
        <v>1.61</v>
      </c>
      <c r="D190" s="2">
        <v>9</v>
      </c>
      <c r="E190" t="s">
        <v>52</v>
      </c>
      <c r="F190" t="s">
        <v>53</v>
      </c>
      <c r="G190" t="s">
        <v>167</v>
      </c>
      <c r="H190">
        <v>1</v>
      </c>
      <c r="I190" s="13">
        <v>0.75</v>
      </c>
      <c r="J190" s="12">
        <v>11</v>
      </c>
      <c r="K190" s="7">
        <v>10.5</v>
      </c>
      <c r="L190" s="2">
        <f t="shared" si="15"/>
        <v>-0.5</v>
      </c>
      <c r="M190" s="9">
        <v>7</v>
      </c>
      <c r="N190" s="9">
        <v>2</v>
      </c>
      <c r="O190">
        <f t="shared" si="16"/>
        <v>-5</v>
      </c>
      <c r="P190" s="9">
        <v>2</v>
      </c>
      <c r="Q190" s="9">
        <v>2</v>
      </c>
      <c r="R190">
        <f t="shared" si="17"/>
        <v>0</v>
      </c>
      <c r="S190">
        <v>4</v>
      </c>
      <c r="T190">
        <v>4</v>
      </c>
      <c r="U190">
        <f t="shared" si="18"/>
        <v>0</v>
      </c>
      <c r="V190">
        <v>2</v>
      </c>
      <c r="W190">
        <v>2</v>
      </c>
      <c r="X190">
        <f t="shared" si="19"/>
        <v>0</v>
      </c>
      <c r="Y190" s="12">
        <v>0</v>
      </c>
      <c r="Z190" s="2">
        <v>1</v>
      </c>
      <c r="AA190" s="2">
        <v>1</v>
      </c>
      <c r="AB190" s="2">
        <f t="shared" si="21"/>
        <v>1</v>
      </c>
      <c r="AC190" s="2">
        <v>1</v>
      </c>
      <c r="AD190" s="2">
        <v>0</v>
      </c>
      <c r="AE190" s="2">
        <v>0</v>
      </c>
      <c r="AF190" s="2">
        <v>1</v>
      </c>
      <c r="AG190" s="2">
        <v>0</v>
      </c>
      <c r="AH190" s="2">
        <v>0</v>
      </c>
      <c r="AI190" s="2">
        <v>0</v>
      </c>
      <c r="AJ190" s="2">
        <v>0</v>
      </c>
      <c r="AK190">
        <f t="shared" si="20"/>
        <v>0</v>
      </c>
      <c r="AL190" s="2" t="s">
        <v>136</v>
      </c>
    </row>
    <row r="191" spans="1:38" x14ac:dyDescent="0.35">
      <c r="A191" s="7">
        <v>211</v>
      </c>
      <c r="B191" t="s">
        <v>18</v>
      </c>
      <c r="C191">
        <v>-0.04</v>
      </c>
      <c r="D191" s="2">
        <v>17</v>
      </c>
      <c r="E191" t="s">
        <v>160</v>
      </c>
      <c r="F191" t="s">
        <v>55</v>
      </c>
      <c r="G191" t="s">
        <v>167</v>
      </c>
      <c r="H191">
        <v>0</v>
      </c>
      <c r="I191" s="13">
        <v>0.25</v>
      </c>
      <c r="J191" s="12">
        <v>1</v>
      </c>
      <c r="K191" s="7">
        <v>1</v>
      </c>
      <c r="L191" s="2">
        <f t="shared" si="15"/>
        <v>0</v>
      </c>
      <c r="M191" s="9">
        <v>3</v>
      </c>
      <c r="N191" s="9">
        <v>3</v>
      </c>
      <c r="O191">
        <f t="shared" si="16"/>
        <v>0</v>
      </c>
      <c r="P191" s="9">
        <v>2</v>
      </c>
      <c r="Q191" s="9">
        <v>2</v>
      </c>
      <c r="R191">
        <f t="shared" si="17"/>
        <v>0</v>
      </c>
      <c r="S191">
        <v>1</v>
      </c>
      <c r="T191">
        <v>1</v>
      </c>
      <c r="U191">
        <f t="shared" si="18"/>
        <v>0</v>
      </c>
      <c r="V191">
        <v>0</v>
      </c>
      <c r="W191">
        <v>0</v>
      </c>
      <c r="X191">
        <f t="shared" si="19"/>
        <v>0</v>
      </c>
      <c r="Y191" s="12">
        <v>0</v>
      </c>
      <c r="Z191" s="2">
        <v>0</v>
      </c>
      <c r="AA191" s="2">
        <v>1</v>
      </c>
      <c r="AB191" s="2">
        <f t="shared" si="21"/>
        <v>1</v>
      </c>
      <c r="AC191" s="2">
        <v>0</v>
      </c>
      <c r="AD191" s="2">
        <v>1</v>
      </c>
      <c r="AE191" s="2">
        <v>0</v>
      </c>
      <c r="AF191" s="2">
        <v>1</v>
      </c>
      <c r="AG191" s="2">
        <v>1</v>
      </c>
      <c r="AH191" s="2">
        <v>1</v>
      </c>
      <c r="AI191" s="2">
        <v>0</v>
      </c>
      <c r="AJ191" s="2">
        <v>0</v>
      </c>
      <c r="AK191">
        <f t="shared" si="20"/>
        <v>0</v>
      </c>
      <c r="AL191" s="2" t="s">
        <v>137</v>
      </c>
    </row>
    <row r="192" spans="1:38" x14ac:dyDescent="0.35">
      <c r="A192" s="7">
        <v>212</v>
      </c>
      <c r="B192" t="s">
        <v>18</v>
      </c>
      <c r="C192">
        <v>-0.04</v>
      </c>
      <c r="D192" s="5">
        <v>98</v>
      </c>
      <c r="E192" t="s">
        <v>160</v>
      </c>
      <c r="F192" t="s">
        <v>53</v>
      </c>
      <c r="G192" t="s">
        <v>166</v>
      </c>
      <c r="H192">
        <v>0</v>
      </c>
      <c r="I192" s="13">
        <v>0.25</v>
      </c>
      <c r="J192" s="12">
        <v>2</v>
      </c>
      <c r="K192" s="7">
        <v>2</v>
      </c>
      <c r="L192" s="2">
        <f t="shared" si="15"/>
        <v>0</v>
      </c>
      <c r="M192" s="9">
        <v>8</v>
      </c>
      <c r="N192" s="9">
        <v>7</v>
      </c>
      <c r="O192">
        <f t="shared" si="16"/>
        <v>-1</v>
      </c>
      <c r="P192" s="9">
        <v>2</v>
      </c>
      <c r="Q192" s="9">
        <v>2</v>
      </c>
      <c r="R192">
        <f t="shared" si="17"/>
        <v>0</v>
      </c>
      <c r="S192">
        <v>2</v>
      </c>
      <c r="T192">
        <v>2</v>
      </c>
      <c r="U192">
        <f t="shared" si="18"/>
        <v>0</v>
      </c>
      <c r="V192">
        <v>1</v>
      </c>
      <c r="W192">
        <v>1</v>
      </c>
      <c r="X192">
        <f t="shared" si="19"/>
        <v>0</v>
      </c>
      <c r="Y192" s="2">
        <v>0</v>
      </c>
      <c r="Z192" s="2">
        <v>0</v>
      </c>
      <c r="AA192" s="2">
        <v>0</v>
      </c>
      <c r="AB192" s="2">
        <f t="shared" si="21"/>
        <v>0</v>
      </c>
      <c r="AC192" s="2">
        <v>0</v>
      </c>
      <c r="AD192" s="2">
        <v>1</v>
      </c>
      <c r="AE192" s="2">
        <v>0</v>
      </c>
      <c r="AF192" s="2">
        <v>1</v>
      </c>
      <c r="AG192" s="2">
        <v>0</v>
      </c>
      <c r="AH192" s="2">
        <v>0</v>
      </c>
      <c r="AI192" s="2">
        <v>1</v>
      </c>
      <c r="AJ192" s="2">
        <v>1</v>
      </c>
      <c r="AK192">
        <f t="shared" si="20"/>
        <v>0</v>
      </c>
      <c r="AL192" s="5" t="s">
        <v>39</v>
      </c>
    </row>
    <row r="193" spans="1:38" x14ac:dyDescent="0.35">
      <c r="A193" s="7">
        <v>214</v>
      </c>
      <c r="B193" t="s">
        <v>18</v>
      </c>
      <c r="C193">
        <v>-0.04</v>
      </c>
      <c r="D193" s="2">
        <v>12</v>
      </c>
      <c r="E193" t="s">
        <v>62</v>
      </c>
      <c r="F193" t="s">
        <v>54</v>
      </c>
      <c r="G193" t="s">
        <v>166</v>
      </c>
      <c r="H193">
        <v>0</v>
      </c>
      <c r="I193" s="13">
        <v>0</v>
      </c>
      <c r="J193" s="12">
        <v>3</v>
      </c>
      <c r="K193" s="7">
        <v>4</v>
      </c>
      <c r="L193" s="2">
        <f t="shared" si="15"/>
        <v>1</v>
      </c>
      <c r="M193" s="9">
        <v>2</v>
      </c>
      <c r="N193" s="9">
        <v>2</v>
      </c>
      <c r="O193">
        <f t="shared" si="16"/>
        <v>0</v>
      </c>
      <c r="P193" s="9">
        <v>3</v>
      </c>
      <c r="Q193" s="9">
        <v>3</v>
      </c>
      <c r="R193">
        <f t="shared" si="17"/>
        <v>0</v>
      </c>
      <c r="S193">
        <v>2</v>
      </c>
      <c r="T193">
        <v>2</v>
      </c>
      <c r="U193">
        <f t="shared" si="18"/>
        <v>0</v>
      </c>
      <c r="V193">
        <v>1</v>
      </c>
      <c r="W193">
        <v>1</v>
      </c>
      <c r="X193">
        <f t="shared" si="19"/>
        <v>0</v>
      </c>
      <c r="Y193" s="2">
        <v>0</v>
      </c>
      <c r="Z193" s="2">
        <v>1</v>
      </c>
      <c r="AA193" s="2">
        <v>1</v>
      </c>
      <c r="AB193" s="2">
        <f t="shared" si="21"/>
        <v>1</v>
      </c>
      <c r="AC193" s="2">
        <v>1</v>
      </c>
      <c r="AD193" s="2">
        <v>1</v>
      </c>
      <c r="AE193" s="2">
        <v>0</v>
      </c>
      <c r="AF193" s="2">
        <v>1</v>
      </c>
      <c r="AG193" s="2">
        <v>0</v>
      </c>
      <c r="AH193" s="2">
        <v>1</v>
      </c>
      <c r="AI193" s="2">
        <v>1</v>
      </c>
      <c r="AJ193" s="2">
        <v>0</v>
      </c>
      <c r="AK193">
        <f t="shared" si="20"/>
        <v>0</v>
      </c>
      <c r="AL193" s="2" t="s">
        <v>47</v>
      </c>
    </row>
    <row r="194" spans="1:38" x14ac:dyDescent="0.35">
      <c r="A194" s="7">
        <v>215</v>
      </c>
      <c r="B194" t="s">
        <v>127</v>
      </c>
      <c r="C194" s="9">
        <v>1.81</v>
      </c>
      <c r="D194" s="2">
        <v>18</v>
      </c>
      <c r="E194" t="s">
        <v>61</v>
      </c>
      <c r="F194" t="s">
        <v>53</v>
      </c>
      <c r="G194" t="s">
        <v>166</v>
      </c>
      <c r="H194">
        <v>0</v>
      </c>
      <c r="I194" s="13">
        <v>0.75</v>
      </c>
      <c r="J194" s="12">
        <v>2</v>
      </c>
      <c r="K194" s="7">
        <v>2</v>
      </c>
      <c r="L194" s="2">
        <f t="shared" si="15"/>
        <v>0</v>
      </c>
      <c r="M194" s="9">
        <v>8</v>
      </c>
      <c r="N194" s="9">
        <v>8</v>
      </c>
      <c r="O194">
        <f t="shared" si="16"/>
        <v>0</v>
      </c>
      <c r="P194" s="9">
        <v>1</v>
      </c>
      <c r="Q194" s="9">
        <v>1</v>
      </c>
      <c r="R194">
        <f t="shared" si="17"/>
        <v>0</v>
      </c>
      <c r="S194">
        <v>1</v>
      </c>
      <c r="T194">
        <v>3</v>
      </c>
      <c r="U194">
        <f t="shared" si="18"/>
        <v>2</v>
      </c>
      <c r="V194">
        <v>0</v>
      </c>
      <c r="W194">
        <v>1</v>
      </c>
      <c r="X194">
        <f t="shared" si="19"/>
        <v>1</v>
      </c>
      <c r="Y194" s="2">
        <v>0</v>
      </c>
      <c r="Z194" s="2">
        <v>1</v>
      </c>
      <c r="AA194" s="2">
        <v>1</v>
      </c>
      <c r="AB194" s="2">
        <f t="shared" si="21"/>
        <v>1</v>
      </c>
      <c r="AC194" s="2">
        <v>0</v>
      </c>
      <c r="AD194" s="2">
        <v>1</v>
      </c>
      <c r="AE194" s="2">
        <v>0</v>
      </c>
      <c r="AF194" s="2">
        <v>1</v>
      </c>
      <c r="AG194" s="2">
        <v>0</v>
      </c>
      <c r="AH194" s="2">
        <v>0</v>
      </c>
      <c r="AI194" s="2">
        <v>1</v>
      </c>
      <c r="AJ194" s="2">
        <v>1</v>
      </c>
      <c r="AK194">
        <f t="shared" si="20"/>
        <v>0</v>
      </c>
      <c r="AL194" s="2" t="s">
        <v>136</v>
      </c>
    </row>
    <row r="195" spans="1:38" x14ac:dyDescent="0.35">
      <c r="A195" s="7">
        <v>216</v>
      </c>
      <c r="B195" t="s">
        <v>16</v>
      </c>
      <c r="C195">
        <v>1.61</v>
      </c>
      <c r="D195" s="2">
        <v>66</v>
      </c>
      <c r="E195" t="s">
        <v>52</v>
      </c>
      <c r="F195" t="s">
        <v>56</v>
      </c>
      <c r="G195" t="s">
        <v>166</v>
      </c>
      <c r="H195">
        <v>0</v>
      </c>
      <c r="I195" s="13">
        <v>0.5</v>
      </c>
      <c r="J195" s="12">
        <v>3</v>
      </c>
      <c r="K195" s="7">
        <v>3</v>
      </c>
      <c r="L195" s="2">
        <f t="shared" ref="L195:L210" si="22">K195-J195</f>
        <v>0</v>
      </c>
      <c r="M195" s="9">
        <v>9</v>
      </c>
      <c r="N195" s="9">
        <v>9</v>
      </c>
      <c r="O195">
        <f t="shared" ref="O195:O210" si="23">N195-M195</f>
        <v>0</v>
      </c>
      <c r="P195" s="9">
        <v>1</v>
      </c>
      <c r="Q195" s="9">
        <v>1</v>
      </c>
      <c r="R195">
        <f t="shared" ref="R195:R210" si="24">Q195-P195</f>
        <v>0</v>
      </c>
      <c r="S195">
        <v>2</v>
      </c>
      <c r="T195">
        <v>2</v>
      </c>
      <c r="U195">
        <f t="shared" ref="U195:U210" si="25">T195-S195</f>
        <v>0</v>
      </c>
      <c r="V195">
        <v>0</v>
      </c>
      <c r="W195">
        <v>1</v>
      </c>
      <c r="X195">
        <f t="shared" ref="X195:X210" si="26">W195-V195</f>
        <v>1</v>
      </c>
      <c r="Y195" s="2">
        <v>0</v>
      </c>
      <c r="Z195" s="2">
        <v>0</v>
      </c>
      <c r="AA195" s="2">
        <v>0</v>
      </c>
      <c r="AB195" s="2">
        <f t="shared" si="21"/>
        <v>0</v>
      </c>
      <c r="AC195" s="2">
        <v>0</v>
      </c>
      <c r="AD195" s="2">
        <v>0</v>
      </c>
      <c r="AE195" s="2">
        <v>0</v>
      </c>
      <c r="AF195" s="2">
        <v>0</v>
      </c>
      <c r="AG195" s="2">
        <v>0</v>
      </c>
      <c r="AH195" s="2">
        <v>0</v>
      </c>
      <c r="AI195" s="2">
        <v>0</v>
      </c>
      <c r="AJ195" s="2">
        <v>0</v>
      </c>
      <c r="AK195">
        <f t="shared" ref="AK195:AK210" si="27">IF(Y195+Z195+AA195+AC195+AD195+AE195+AF195+AG195+AH195+AI195+AJ195=0,1,0)</f>
        <v>1</v>
      </c>
      <c r="AL195" s="2" t="s">
        <v>140</v>
      </c>
    </row>
    <row r="196" spans="1:38" x14ac:dyDescent="0.35">
      <c r="A196" s="7">
        <v>217</v>
      </c>
      <c r="B196" t="s">
        <v>18</v>
      </c>
      <c r="C196">
        <v>-0.04</v>
      </c>
      <c r="D196" s="2">
        <v>135</v>
      </c>
      <c r="E196" t="s">
        <v>62</v>
      </c>
      <c r="F196" t="s">
        <v>55</v>
      </c>
      <c r="G196" t="s">
        <v>166</v>
      </c>
      <c r="H196">
        <v>0</v>
      </c>
      <c r="I196" s="13">
        <v>0.25</v>
      </c>
      <c r="J196" s="12">
        <v>5</v>
      </c>
      <c r="K196" s="7">
        <v>5</v>
      </c>
      <c r="L196" s="2">
        <f t="shared" si="22"/>
        <v>0</v>
      </c>
      <c r="M196" s="9">
        <v>5</v>
      </c>
      <c r="N196" s="9">
        <v>4.5</v>
      </c>
      <c r="O196">
        <f t="shared" si="23"/>
        <v>-0.5</v>
      </c>
      <c r="P196" s="9">
        <v>2</v>
      </c>
      <c r="Q196" s="9">
        <v>2</v>
      </c>
      <c r="R196">
        <f t="shared" si="24"/>
        <v>0</v>
      </c>
      <c r="S196">
        <v>3</v>
      </c>
      <c r="T196">
        <v>3</v>
      </c>
      <c r="U196">
        <f t="shared" si="25"/>
        <v>0</v>
      </c>
      <c r="V196">
        <v>2</v>
      </c>
      <c r="W196">
        <v>2</v>
      </c>
      <c r="X196">
        <f t="shared" si="26"/>
        <v>0</v>
      </c>
      <c r="Y196" s="2">
        <v>0</v>
      </c>
      <c r="Z196" s="2">
        <v>1</v>
      </c>
      <c r="AA196" s="2">
        <v>1</v>
      </c>
      <c r="AB196" s="2">
        <f t="shared" si="21"/>
        <v>1</v>
      </c>
      <c r="AC196" s="2">
        <v>1</v>
      </c>
      <c r="AD196" s="2">
        <v>1</v>
      </c>
      <c r="AE196" s="2">
        <v>0</v>
      </c>
      <c r="AF196" s="2">
        <v>1</v>
      </c>
      <c r="AG196" s="2">
        <v>1</v>
      </c>
      <c r="AH196" s="2">
        <v>1</v>
      </c>
      <c r="AI196" s="2">
        <v>1</v>
      </c>
      <c r="AJ196" s="2">
        <v>0</v>
      </c>
      <c r="AK196">
        <f t="shared" si="27"/>
        <v>0</v>
      </c>
      <c r="AL196" s="2" t="s">
        <v>6</v>
      </c>
    </row>
    <row r="197" spans="1:38" x14ac:dyDescent="0.35">
      <c r="A197" s="7">
        <v>218</v>
      </c>
      <c r="B197" t="s">
        <v>18</v>
      </c>
      <c r="C197">
        <v>-0.04</v>
      </c>
      <c r="D197" s="2">
        <v>137</v>
      </c>
      <c r="E197" t="s">
        <v>62</v>
      </c>
      <c r="F197" t="s">
        <v>53</v>
      </c>
      <c r="G197" t="s">
        <v>166</v>
      </c>
      <c r="H197">
        <v>0</v>
      </c>
      <c r="I197" s="13">
        <v>0.5</v>
      </c>
      <c r="J197" s="12">
        <v>4</v>
      </c>
      <c r="K197" s="7">
        <v>3</v>
      </c>
      <c r="L197" s="2">
        <f t="shared" si="22"/>
        <v>-1</v>
      </c>
      <c r="M197" s="9">
        <v>9</v>
      </c>
      <c r="N197" s="9">
        <v>4</v>
      </c>
      <c r="O197">
        <f t="shared" si="23"/>
        <v>-5</v>
      </c>
      <c r="P197" s="9">
        <v>3</v>
      </c>
      <c r="Q197" s="9">
        <v>3</v>
      </c>
      <c r="R197">
        <f t="shared" si="24"/>
        <v>0</v>
      </c>
      <c r="S197">
        <v>3</v>
      </c>
      <c r="T197">
        <v>3</v>
      </c>
      <c r="U197">
        <f t="shared" si="25"/>
        <v>0</v>
      </c>
      <c r="V197">
        <v>2</v>
      </c>
      <c r="W197">
        <v>2</v>
      </c>
      <c r="X197">
        <f t="shared" si="26"/>
        <v>0</v>
      </c>
      <c r="Y197" s="2">
        <v>0</v>
      </c>
      <c r="Z197" s="2">
        <v>0</v>
      </c>
      <c r="AA197" s="2">
        <v>1</v>
      </c>
      <c r="AB197" s="2">
        <f t="shared" si="21"/>
        <v>1</v>
      </c>
      <c r="AC197" s="2">
        <v>0</v>
      </c>
      <c r="AD197" s="2">
        <v>1</v>
      </c>
      <c r="AE197" s="2">
        <v>0</v>
      </c>
      <c r="AF197" s="2">
        <v>1</v>
      </c>
      <c r="AG197" s="2">
        <v>0</v>
      </c>
      <c r="AH197" s="2">
        <v>1</v>
      </c>
      <c r="AI197" s="2">
        <v>1</v>
      </c>
      <c r="AJ197" s="2">
        <v>0</v>
      </c>
      <c r="AK197">
        <f t="shared" si="27"/>
        <v>0</v>
      </c>
      <c r="AL197" s="2" t="s">
        <v>137</v>
      </c>
    </row>
    <row r="198" spans="1:38" x14ac:dyDescent="0.35">
      <c r="A198" s="7">
        <v>219</v>
      </c>
      <c r="B198" t="s">
        <v>18</v>
      </c>
      <c r="C198">
        <v>-0.04</v>
      </c>
      <c r="D198" s="2">
        <v>135</v>
      </c>
      <c r="E198" t="s">
        <v>62</v>
      </c>
      <c r="F198" t="s">
        <v>53</v>
      </c>
      <c r="G198" t="s">
        <v>166</v>
      </c>
      <c r="H198">
        <v>0</v>
      </c>
      <c r="I198" s="13">
        <v>0.5</v>
      </c>
      <c r="J198" s="12">
        <v>3</v>
      </c>
      <c r="K198" s="7">
        <v>3</v>
      </c>
      <c r="L198" s="2">
        <f t="shared" si="22"/>
        <v>0</v>
      </c>
      <c r="M198" s="9">
        <v>5</v>
      </c>
      <c r="N198" s="9">
        <v>5</v>
      </c>
      <c r="O198">
        <f t="shared" si="23"/>
        <v>0</v>
      </c>
      <c r="P198" s="9">
        <v>3</v>
      </c>
      <c r="Q198" s="9">
        <v>3</v>
      </c>
      <c r="R198">
        <f t="shared" si="24"/>
        <v>0</v>
      </c>
      <c r="S198">
        <v>3</v>
      </c>
      <c r="T198">
        <v>3</v>
      </c>
      <c r="U198">
        <f t="shared" si="25"/>
        <v>0</v>
      </c>
      <c r="V198">
        <v>2</v>
      </c>
      <c r="W198">
        <v>2</v>
      </c>
      <c r="X198">
        <f t="shared" si="26"/>
        <v>0</v>
      </c>
      <c r="Y198" s="2">
        <v>0</v>
      </c>
      <c r="Z198" s="2">
        <v>0</v>
      </c>
      <c r="AA198" s="2">
        <v>1</v>
      </c>
      <c r="AB198" s="2">
        <f t="shared" si="21"/>
        <v>1</v>
      </c>
      <c r="AC198" s="2">
        <v>0</v>
      </c>
      <c r="AD198" s="2">
        <v>1</v>
      </c>
      <c r="AE198" s="2">
        <v>0</v>
      </c>
      <c r="AF198" s="2">
        <v>1</v>
      </c>
      <c r="AG198" s="2">
        <v>0</v>
      </c>
      <c r="AH198" s="2">
        <v>1</v>
      </c>
      <c r="AI198" s="2">
        <v>1</v>
      </c>
      <c r="AJ198" s="2">
        <v>0</v>
      </c>
      <c r="AK198">
        <f t="shared" si="27"/>
        <v>0</v>
      </c>
      <c r="AL198" s="2" t="s">
        <v>6</v>
      </c>
    </row>
    <row r="199" spans="1:38" x14ac:dyDescent="0.35">
      <c r="A199" s="7">
        <v>220</v>
      </c>
      <c r="B199" t="s">
        <v>163</v>
      </c>
      <c r="C199" s="7">
        <v>-0.37</v>
      </c>
      <c r="D199" s="2">
        <v>14</v>
      </c>
      <c r="E199" t="s">
        <v>52</v>
      </c>
      <c r="F199" t="s">
        <v>56</v>
      </c>
      <c r="G199" t="s">
        <v>166</v>
      </c>
      <c r="H199">
        <v>1</v>
      </c>
      <c r="I199" s="13">
        <v>0.75</v>
      </c>
      <c r="J199" s="12">
        <v>6</v>
      </c>
      <c r="K199" s="7">
        <v>4</v>
      </c>
      <c r="L199" s="2">
        <f t="shared" si="22"/>
        <v>-2</v>
      </c>
      <c r="M199" s="9">
        <v>9</v>
      </c>
      <c r="N199" s="9">
        <v>3</v>
      </c>
      <c r="O199">
        <f t="shared" si="23"/>
        <v>-6</v>
      </c>
      <c r="P199" s="9">
        <v>2</v>
      </c>
      <c r="Q199" s="9">
        <v>2</v>
      </c>
      <c r="R199">
        <f t="shared" si="24"/>
        <v>0</v>
      </c>
      <c r="S199">
        <v>3</v>
      </c>
      <c r="T199">
        <v>1</v>
      </c>
      <c r="U199">
        <f t="shared" si="25"/>
        <v>-2</v>
      </c>
      <c r="V199">
        <v>1</v>
      </c>
      <c r="W199">
        <v>2</v>
      </c>
      <c r="X199">
        <f t="shared" si="26"/>
        <v>1</v>
      </c>
      <c r="Y199" s="2">
        <v>0</v>
      </c>
      <c r="Z199" s="2">
        <v>1</v>
      </c>
      <c r="AA199" s="2">
        <v>0</v>
      </c>
      <c r="AB199" s="2">
        <f>IF(Z199+AA199&gt;0,1,0)</f>
        <v>1</v>
      </c>
      <c r="AC199" s="2">
        <v>0</v>
      </c>
      <c r="AD199" s="2">
        <v>1</v>
      </c>
      <c r="AE199" s="2">
        <v>0</v>
      </c>
      <c r="AF199" s="2">
        <v>0</v>
      </c>
      <c r="AG199" s="2">
        <v>1</v>
      </c>
      <c r="AH199" s="2">
        <v>1</v>
      </c>
      <c r="AI199" s="2">
        <v>0</v>
      </c>
      <c r="AJ199" s="2">
        <v>0</v>
      </c>
      <c r="AK199">
        <f t="shared" si="27"/>
        <v>0</v>
      </c>
      <c r="AL199" s="2" t="s">
        <v>136</v>
      </c>
    </row>
    <row r="200" spans="1:38" x14ac:dyDescent="0.35">
      <c r="A200" s="7">
        <v>221</v>
      </c>
      <c r="B200" t="s">
        <v>165</v>
      </c>
      <c r="C200">
        <v>1.47</v>
      </c>
      <c r="D200" s="2">
        <v>9</v>
      </c>
      <c r="E200" t="s">
        <v>162</v>
      </c>
      <c r="F200" t="s">
        <v>53</v>
      </c>
      <c r="G200" t="s">
        <v>166</v>
      </c>
      <c r="H200">
        <v>0</v>
      </c>
      <c r="I200" s="13">
        <v>0.25</v>
      </c>
      <c r="J200" s="2">
        <v>4</v>
      </c>
      <c r="K200" s="7">
        <v>4</v>
      </c>
      <c r="L200" s="2">
        <f t="shared" si="22"/>
        <v>0</v>
      </c>
      <c r="M200" s="9">
        <v>2</v>
      </c>
      <c r="N200" s="9">
        <v>2</v>
      </c>
      <c r="O200">
        <f t="shared" si="23"/>
        <v>0</v>
      </c>
      <c r="P200" s="9">
        <v>2</v>
      </c>
      <c r="Q200" s="9">
        <v>2</v>
      </c>
      <c r="R200">
        <f t="shared" si="24"/>
        <v>0</v>
      </c>
      <c r="S200">
        <v>1</v>
      </c>
      <c r="T200">
        <v>1</v>
      </c>
      <c r="U200">
        <f t="shared" si="25"/>
        <v>0</v>
      </c>
      <c r="Y200" s="2">
        <v>0</v>
      </c>
      <c r="Z200" s="2">
        <v>1</v>
      </c>
      <c r="AA200" s="2">
        <v>1</v>
      </c>
      <c r="AB200" s="2">
        <f>IF(Z200+AA200&gt;0,1,0)</f>
        <v>1</v>
      </c>
      <c r="AC200" s="2">
        <v>0</v>
      </c>
      <c r="AD200" s="2">
        <v>1</v>
      </c>
      <c r="AE200" s="2">
        <v>0</v>
      </c>
      <c r="AF200" s="2">
        <v>0</v>
      </c>
      <c r="AG200" s="2">
        <v>0</v>
      </c>
      <c r="AH200" s="2">
        <v>0</v>
      </c>
      <c r="AI200" s="2">
        <v>0</v>
      </c>
      <c r="AJ200" s="2">
        <v>0</v>
      </c>
      <c r="AK200">
        <f t="shared" si="27"/>
        <v>0</v>
      </c>
      <c r="AL200" s="2" t="s">
        <v>6</v>
      </c>
    </row>
    <row r="201" spans="1:38" x14ac:dyDescent="0.35">
      <c r="A201" s="7">
        <v>222</v>
      </c>
      <c r="B201" t="s">
        <v>163</v>
      </c>
      <c r="C201" s="7">
        <v>-0.37</v>
      </c>
      <c r="D201" s="2">
        <v>40</v>
      </c>
      <c r="E201" t="s">
        <v>141</v>
      </c>
      <c r="F201" t="s">
        <v>53</v>
      </c>
      <c r="G201" t="s">
        <v>166</v>
      </c>
      <c r="H201">
        <v>1</v>
      </c>
      <c r="I201" s="13">
        <v>0.5</v>
      </c>
      <c r="J201" s="2">
        <v>4</v>
      </c>
      <c r="K201" s="7">
        <v>4</v>
      </c>
      <c r="L201" s="2">
        <f t="shared" si="22"/>
        <v>0</v>
      </c>
      <c r="M201" s="9">
        <v>9</v>
      </c>
      <c r="N201" s="9">
        <v>7</v>
      </c>
      <c r="O201">
        <f t="shared" si="23"/>
        <v>-2</v>
      </c>
      <c r="P201" s="9">
        <v>2</v>
      </c>
      <c r="Q201" s="9">
        <v>2</v>
      </c>
      <c r="R201">
        <f t="shared" si="24"/>
        <v>0</v>
      </c>
      <c r="S201">
        <v>1</v>
      </c>
      <c r="T201">
        <v>3</v>
      </c>
      <c r="U201">
        <f t="shared" si="25"/>
        <v>2</v>
      </c>
      <c r="V201">
        <v>1</v>
      </c>
      <c r="W201">
        <v>1</v>
      </c>
      <c r="X201">
        <f t="shared" si="26"/>
        <v>0</v>
      </c>
      <c r="Y201" s="2">
        <v>0</v>
      </c>
      <c r="Z201" s="2">
        <v>1</v>
      </c>
      <c r="AA201" s="2">
        <v>0</v>
      </c>
      <c r="AB201" s="2">
        <f>IF(Z201+AA201&gt;0,1,0)</f>
        <v>1</v>
      </c>
      <c r="AC201" s="2">
        <v>0</v>
      </c>
      <c r="AD201" s="2">
        <v>0</v>
      </c>
      <c r="AE201" s="2">
        <v>0</v>
      </c>
      <c r="AF201" s="2">
        <v>1</v>
      </c>
      <c r="AG201" s="2">
        <v>0</v>
      </c>
      <c r="AH201" s="2">
        <v>0</v>
      </c>
      <c r="AI201" s="2">
        <v>0</v>
      </c>
      <c r="AJ201" s="2">
        <v>0</v>
      </c>
      <c r="AK201">
        <f t="shared" si="27"/>
        <v>0</v>
      </c>
      <c r="AL201" s="2" t="s">
        <v>136</v>
      </c>
    </row>
    <row r="202" spans="1:38" x14ac:dyDescent="0.35">
      <c r="A202" s="7">
        <v>223</v>
      </c>
      <c r="B202" t="s">
        <v>16</v>
      </c>
      <c r="C202">
        <v>1.61</v>
      </c>
      <c r="D202" s="2">
        <v>15</v>
      </c>
      <c r="E202" t="s">
        <v>52</v>
      </c>
      <c r="F202" t="s">
        <v>59</v>
      </c>
      <c r="G202" t="s">
        <v>167</v>
      </c>
      <c r="H202">
        <v>0</v>
      </c>
      <c r="I202" s="13">
        <v>0</v>
      </c>
      <c r="J202" s="2">
        <v>4</v>
      </c>
      <c r="K202" s="7">
        <v>6</v>
      </c>
      <c r="L202" s="2">
        <f t="shared" si="22"/>
        <v>2</v>
      </c>
      <c r="M202" s="9">
        <v>9</v>
      </c>
      <c r="N202" s="9">
        <v>9</v>
      </c>
      <c r="O202">
        <f t="shared" si="23"/>
        <v>0</v>
      </c>
      <c r="P202" s="9">
        <v>2</v>
      </c>
      <c r="Q202" s="9">
        <v>2</v>
      </c>
      <c r="R202">
        <f t="shared" si="24"/>
        <v>0</v>
      </c>
      <c r="S202">
        <v>1</v>
      </c>
      <c r="T202">
        <v>1</v>
      </c>
      <c r="U202">
        <f t="shared" si="25"/>
        <v>0</v>
      </c>
      <c r="V202">
        <v>1</v>
      </c>
      <c r="W202">
        <v>1</v>
      </c>
      <c r="X202">
        <f t="shared" si="26"/>
        <v>0</v>
      </c>
      <c r="Y202" s="2">
        <v>0</v>
      </c>
      <c r="Z202" s="2">
        <v>0</v>
      </c>
      <c r="AA202" s="2">
        <v>0</v>
      </c>
      <c r="AB202" s="2">
        <f>IF(Z202+AA202&gt;0,1,0)</f>
        <v>0</v>
      </c>
      <c r="AC202" s="2">
        <v>0</v>
      </c>
      <c r="AD202" s="2">
        <v>0</v>
      </c>
      <c r="AE202" s="2">
        <v>0</v>
      </c>
      <c r="AF202" s="2">
        <v>0</v>
      </c>
      <c r="AG202" s="2">
        <v>0</v>
      </c>
      <c r="AH202" s="2">
        <v>0</v>
      </c>
      <c r="AI202" s="2">
        <v>0</v>
      </c>
      <c r="AJ202" s="2">
        <v>0</v>
      </c>
      <c r="AK202">
        <f t="shared" si="27"/>
        <v>1</v>
      </c>
      <c r="AL202" s="2" t="s">
        <v>140</v>
      </c>
    </row>
    <row r="203" spans="1:38" x14ac:dyDescent="0.35">
      <c r="A203" s="7">
        <v>224</v>
      </c>
      <c r="B203" t="s">
        <v>16</v>
      </c>
      <c r="C203">
        <v>1.61</v>
      </c>
      <c r="D203" s="2">
        <v>37</v>
      </c>
      <c r="E203" t="s">
        <v>52</v>
      </c>
      <c r="F203" t="s">
        <v>53</v>
      </c>
      <c r="G203" t="s">
        <v>166</v>
      </c>
      <c r="H203">
        <v>0</v>
      </c>
      <c r="I203" s="13">
        <v>0</v>
      </c>
      <c r="J203" s="2">
        <v>3</v>
      </c>
      <c r="K203" s="7">
        <v>3</v>
      </c>
      <c r="L203" s="2">
        <f t="shared" si="22"/>
        <v>0</v>
      </c>
      <c r="M203" s="9">
        <v>9</v>
      </c>
      <c r="N203" s="9">
        <v>9</v>
      </c>
      <c r="O203">
        <f t="shared" si="23"/>
        <v>0</v>
      </c>
      <c r="P203" s="9">
        <v>3</v>
      </c>
      <c r="Q203" s="9">
        <v>3</v>
      </c>
      <c r="R203">
        <f t="shared" si="24"/>
        <v>0</v>
      </c>
      <c r="S203">
        <v>2</v>
      </c>
      <c r="T203">
        <v>2</v>
      </c>
      <c r="U203">
        <f t="shared" si="25"/>
        <v>0</v>
      </c>
      <c r="V203">
        <v>0</v>
      </c>
      <c r="W203">
        <v>0</v>
      </c>
      <c r="X203">
        <f t="shared" si="26"/>
        <v>0</v>
      </c>
      <c r="Y203" s="2">
        <v>0</v>
      </c>
      <c r="Z203" s="2">
        <v>0</v>
      </c>
      <c r="AA203" s="2">
        <v>0</v>
      </c>
      <c r="AB203" s="2">
        <f>IF(Z203+AA203&gt;0,1,0)</f>
        <v>0</v>
      </c>
      <c r="AC203" s="2">
        <v>0</v>
      </c>
      <c r="AD203" s="2">
        <v>0</v>
      </c>
      <c r="AE203" s="2">
        <v>0</v>
      </c>
      <c r="AF203" s="2">
        <v>1</v>
      </c>
      <c r="AG203" s="2">
        <v>0</v>
      </c>
      <c r="AH203" s="2">
        <v>0</v>
      </c>
      <c r="AI203" s="2">
        <v>0</v>
      </c>
      <c r="AJ203" s="2">
        <v>0</v>
      </c>
      <c r="AK203">
        <f t="shared" si="27"/>
        <v>0</v>
      </c>
      <c r="AL203" s="2" t="s">
        <v>39</v>
      </c>
    </row>
    <row r="204" spans="1:38" x14ac:dyDescent="0.35">
      <c r="A204" s="7">
        <v>225</v>
      </c>
      <c r="B204" t="s">
        <v>16</v>
      </c>
      <c r="C204">
        <v>1.61</v>
      </c>
      <c r="D204" s="5">
        <v>97</v>
      </c>
      <c r="E204" t="s">
        <v>52</v>
      </c>
      <c r="F204" t="s">
        <v>53</v>
      </c>
      <c r="G204" t="s">
        <v>166</v>
      </c>
      <c r="H204">
        <v>0</v>
      </c>
      <c r="I204" s="13">
        <v>0</v>
      </c>
      <c r="J204" s="2">
        <v>4</v>
      </c>
      <c r="K204" s="7">
        <v>4</v>
      </c>
      <c r="L204" s="2">
        <f t="shared" si="22"/>
        <v>0</v>
      </c>
      <c r="M204" s="9">
        <v>7</v>
      </c>
      <c r="N204" s="9">
        <v>7</v>
      </c>
      <c r="O204">
        <f t="shared" si="23"/>
        <v>0</v>
      </c>
      <c r="P204" s="9">
        <v>2</v>
      </c>
      <c r="Q204" s="9">
        <v>2</v>
      </c>
      <c r="R204">
        <f t="shared" si="24"/>
        <v>0</v>
      </c>
      <c r="S204">
        <v>1</v>
      </c>
      <c r="T204">
        <v>2</v>
      </c>
      <c r="U204">
        <f t="shared" si="25"/>
        <v>1</v>
      </c>
      <c r="V204">
        <v>0</v>
      </c>
      <c r="W204">
        <v>0</v>
      </c>
      <c r="X204">
        <f t="shared" si="26"/>
        <v>0</v>
      </c>
      <c r="Y204" s="2">
        <v>0</v>
      </c>
      <c r="Z204" s="2">
        <v>0</v>
      </c>
      <c r="AA204" s="2">
        <v>0</v>
      </c>
      <c r="AB204" s="2">
        <f t="shared" ref="AB204:AB210" si="28">IF(Z204+AA204&gt;0,1,0)</f>
        <v>0</v>
      </c>
      <c r="AC204" s="2">
        <v>0</v>
      </c>
      <c r="AD204" s="2">
        <v>0</v>
      </c>
      <c r="AE204" s="2">
        <v>0</v>
      </c>
      <c r="AF204" s="2">
        <v>0</v>
      </c>
      <c r="AG204" s="2">
        <v>0</v>
      </c>
      <c r="AH204" s="2">
        <v>0</v>
      </c>
      <c r="AI204" s="2">
        <v>0</v>
      </c>
      <c r="AJ204" s="2">
        <v>0</v>
      </c>
      <c r="AK204">
        <f t="shared" si="27"/>
        <v>1</v>
      </c>
      <c r="AL204" s="2" t="s">
        <v>140</v>
      </c>
    </row>
    <row r="205" spans="1:38" x14ac:dyDescent="0.35">
      <c r="A205" s="7">
        <v>226</v>
      </c>
      <c r="B205" t="s">
        <v>163</v>
      </c>
      <c r="C205" s="7">
        <v>-0.37</v>
      </c>
      <c r="D205" s="5">
        <v>120</v>
      </c>
      <c r="E205" t="s">
        <v>52</v>
      </c>
      <c r="F205" t="s">
        <v>56</v>
      </c>
      <c r="G205" t="s">
        <v>166</v>
      </c>
      <c r="H205">
        <v>1</v>
      </c>
      <c r="I205" s="13">
        <v>0</v>
      </c>
      <c r="J205" s="2">
        <v>4</v>
      </c>
      <c r="K205" s="7">
        <v>4</v>
      </c>
      <c r="L205" s="2">
        <f t="shared" si="22"/>
        <v>0</v>
      </c>
      <c r="M205" s="9">
        <v>3</v>
      </c>
      <c r="N205" s="9">
        <v>3</v>
      </c>
      <c r="O205">
        <f t="shared" si="23"/>
        <v>0</v>
      </c>
      <c r="P205" s="9">
        <v>1</v>
      </c>
      <c r="Q205" s="9">
        <v>1</v>
      </c>
      <c r="R205">
        <f t="shared" si="24"/>
        <v>0</v>
      </c>
      <c r="S205">
        <v>3</v>
      </c>
      <c r="T205">
        <v>3</v>
      </c>
      <c r="U205">
        <f t="shared" si="25"/>
        <v>0</v>
      </c>
      <c r="V205">
        <v>1</v>
      </c>
      <c r="W205">
        <v>1</v>
      </c>
      <c r="X205">
        <f t="shared" si="26"/>
        <v>0</v>
      </c>
      <c r="Y205" s="2">
        <v>0</v>
      </c>
      <c r="Z205" s="2">
        <v>0</v>
      </c>
      <c r="AA205" s="2">
        <v>0</v>
      </c>
      <c r="AB205" s="2">
        <f t="shared" si="28"/>
        <v>0</v>
      </c>
      <c r="AC205" s="2">
        <v>0</v>
      </c>
      <c r="AD205" s="2">
        <v>0</v>
      </c>
      <c r="AE205" s="2">
        <v>0</v>
      </c>
      <c r="AF205" s="2">
        <v>0</v>
      </c>
      <c r="AG205" s="2">
        <v>0</v>
      </c>
      <c r="AH205" s="2">
        <v>0</v>
      </c>
      <c r="AI205" s="2">
        <v>0</v>
      </c>
      <c r="AJ205" s="2">
        <v>0</v>
      </c>
      <c r="AK205">
        <f t="shared" si="27"/>
        <v>1</v>
      </c>
      <c r="AL205" s="2" t="s">
        <v>140</v>
      </c>
    </row>
    <row r="206" spans="1:38" x14ac:dyDescent="0.35">
      <c r="A206" s="7">
        <v>227</v>
      </c>
      <c r="B206" t="s">
        <v>163</v>
      </c>
      <c r="C206" s="7">
        <v>-0.37</v>
      </c>
      <c r="D206" s="5">
        <v>78</v>
      </c>
      <c r="E206" t="s">
        <v>141</v>
      </c>
      <c r="F206" t="s">
        <v>59</v>
      </c>
      <c r="G206" t="s">
        <v>166</v>
      </c>
      <c r="H206">
        <v>1</v>
      </c>
      <c r="I206" s="13">
        <v>0.75</v>
      </c>
      <c r="J206" s="2">
        <v>4</v>
      </c>
      <c r="K206" s="7">
        <v>3</v>
      </c>
      <c r="L206" s="2">
        <f t="shared" si="22"/>
        <v>-1</v>
      </c>
      <c r="M206" s="9">
        <v>10</v>
      </c>
      <c r="N206" s="9">
        <v>4</v>
      </c>
      <c r="O206">
        <f t="shared" si="23"/>
        <v>-6</v>
      </c>
      <c r="P206" s="9">
        <v>3</v>
      </c>
      <c r="Q206" s="9">
        <v>3</v>
      </c>
      <c r="R206">
        <f t="shared" si="24"/>
        <v>0</v>
      </c>
      <c r="S206">
        <v>1</v>
      </c>
      <c r="T206">
        <v>2</v>
      </c>
      <c r="U206">
        <f t="shared" si="25"/>
        <v>1</v>
      </c>
      <c r="V206">
        <v>2</v>
      </c>
      <c r="W206">
        <v>2</v>
      </c>
      <c r="X206">
        <f t="shared" si="26"/>
        <v>0</v>
      </c>
      <c r="Y206" s="2">
        <v>0</v>
      </c>
      <c r="Z206" s="2">
        <v>1</v>
      </c>
      <c r="AA206" s="2">
        <v>1</v>
      </c>
      <c r="AB206" s="2">
        <f t="shared" si="28"/>
        <v>1</v>
      </c>
      <c r="AC206" s="2">
        <v>1</v>
      </c>
      <c r="AD206" s="2">
        <v>0</v>
      </c>
      <c r="AE206" s="2">
        <v>0</v>
      </c>
      <c r="AF206" s="2">
        <v>0</v>
      </c>
      <c r="AG206" s="2">
        <v>0</v>
      </c>
      <c r="AH206" s="2">
        <v>0</v>
      </c>
      <c r="AI206" s="2">
        <v>0</v>
      </c>
      <c r="AJ206" s="2">
        <v>0</v>
      </c>
      <c r="AK206">
        <f t="shared" si="27"/>
        <v>0</v>
      </c>
      <c r="AL206" s="2" t="s">
        <v>136</v>
      </c>
    </row>
    <row r="207" spans="1:38" x14ac:dyDescent="0.35">
      <c r="A207" s="7">
        <v>228</v>
      </c>
      <c r="B207" t="s">
        <v>163</v>
      </c>
      <c r="C207" s="7">
        <v>-0.37</v>
      </c>
      <c r="D207" s="2">
        <v>98</v>
      </c>
      <c r="E207" t="s">
        <v>141</v>
      </c>
      <c r="F207" t="s">
        <v>56</v>
      </c>
      <c r="G207" t="s">
        <v>166</v>
      </c>
      <c r="H207">
        <v>1</v>
      </c>
      <c r="I207" s="13">
        <v>0.75</v>
      </c>
      <c r="J207" s="2">
        <v>6</v>
      </c>
      <c r="K207" s="7">
        <v>5</v>
      </c>
      <c r="L207" s="2">
        <f t="shared" si="22"/>
        <v>-1</v>
      </c>
      <c r="M207" s="9">
        <v>7</v>
      </c>
      <c r="N207" s="9">
        <v>4</v>
      </c>
      <c r="O207">
        <f t="shared" si="23"/>
        <v>-3</v>
      </c>
      <c r="P207" s="9">
        <v>1</v>
      </c>
      <c r="Q207" s="9">
        <v>1</v>
      </c>
      <c r="R207">
        <f t="shared" si="24"/>
        <v>0</v>
      </c>
      <c r="S207">
        <v>2</v>
      </c>
      <c r="T207">
        <v>3</v>
      </c>
      <c r="U207">
        <f t="shared" si="25"/>
        <v>1</v>
      </c>
      <c r="V207">
        <v>1</v>
      </c>
      <c r="W207">
        <v>1</v>
      </c>
      <c r="X207">
        <f t="shared" si="26"/>
        <v>0</v>
      </c>
      <c r="Y207" s="2">
        <v>0</v>
      </c>
      <c r="Z207" s="2">
        <v>0</v>
      </c>
      <c r="AA207" s="2">
        <v>0</v>
      </c>
      <c r="AB207" s="2">
        <f t="shared" si="28"/>
        <v>0</v>
      </c>
      <c r="AC207" s="2">
        <v>0</v>
      </c>
      <c r="AD207" s="2">
        <v>1</v>
      </c>
      <c r="AE207" s="2">
        <v>0</v>
      </c>
      <c r="AF207" s="2">
        <v>1</v>
      </c>
      <c r="AG207" s="2">
        <v>0</v>
      </c>
      <c r="AH207" s="2">
        <v>0</v>
      </c>
      <c r="AI207" s="2">
        <v>1</v>
      </c>
      <c r="AJ207" s="2">
        <v>0</v>
      </c>
      <c r="AK207">
        <f t="shared" si="27"/>
        <v>0</v>
      </c>
      <c r="AL207" s="2" t="s">
        <v>6</v>
      </c>
    </row>
    <row r="208" spans="1:38" x14ac:dyDescent="0.35">
      <c r="A208" s="7">
        <v>229</v>
      </c>
      <c r="B208" t="s">
        <v>163</v>
      </c>
      <c r="C208" s="7">
        <v>-0.37</v>
      </c>
      <c r="D208" s="2">
        <v>130</v>
      </c>
      <c r="E208" t="s">
        <v>141</v>
      </c>
      <c r="F208" t="s">
        <v>59</v>
      </c>
      <c r="G208" t="s">
        <v>167</v>
      </c>
      <c r="H208">
        <v>1</v>
      </c>
      <c r="I208" s="13">
        <v>0.75</v>
      </c>
      <c r="J208" s="2">
        <v>2</v>
      </c>
      <c r="K208" s="7">
        <v>2</v>
      </c>
      <c r="L208" s="2">
        <f t="shared" si="22"/>
        <v>0</v>
      </c>
      <c r="M208" s="9">
        <v>7</v>
      </c>
      <c r="N208" s="9">
        <v>5</v>
      </c>
      <c r="O208">
        <f t="shared" si="23"/>
        <v>-2</v>
      </c>
      <c r="P208" s="9">
        <v>1</v>
      </c>
      <c r="Q208" s="9">
        <v>1</v>
      </c>
      <c r="R208">
        <f t="shared" si="24"/>
        <v>0</v>
      </c>
      <c r="S208">
        <v>4</v>
      </c>
      <c r="T208">
        <v>3</v>
      </c>
      <c r="U208">
        <f t="shared" si="25"/>
        <v>-1</v>
      </c>
      <c r="V208">
        <v>2</v>
      </c>
      <c r="W208">
        <v>2</v>
      </c>
      <c r="X208">
        <f t="shared" si="26"/>
        <v>0</v>
      </c>
      <c r="Y208" s="2">
        <v>0</v>
      </c>
      <c r="Z208" s="2">
        <v>1</v>
      </c>
      <c r="AA208" s="2">
        <v>0</v>
      </c>
      <c r="AB208" s="2">
        <f t="shared" si="28"/>
        <v>1</v>
      </c>
      <c r="AC208" s="2">
        <v>0</v>
      </c>
      <c r="AD208" s="2">
        <v>1</v>
      </c>
      <c r="AE208" s="2">
        <v>0</v>
      </c>
      <c r="AF208" s="2">
        <v>1</v>
      </c>
      <c r="AG208" s="2">
        <v>0</v>
      </c>
      <c r="AH208" s="2">
        <v>0</v>
      </c>
      <c r="AI208" s="2">
        <v>1</v>
      </c>
      <c r="AJ208" s="2">
        <v>0</v>
      </c>
      <c r="AK208">
        <f t="shared" si="27"/>
        <v>0</v>
      </c>
      <c r="AL208" s="2" t="s">
        <v>6</v>
      </c>
    </row>
    <row r="209" spans="1:38" x14ac:dyDescent="0.35">
      <c r="A209" s="7">
        <v>230</v>
      </c>
      <c r="B209" t="s">
        <v>163</v>
      </c>
      <c r="C209" s="7">
        <v>-0.37</v>
      </c>
      <c r="D209" s="2">
        <v>21</v>
      </c>
      <c r="E209" t="s">
        <v>52</v>
      </c>
      <c r="F209" t="s">
        <v>56</v>
      </c>
      <c r="G209" t="s">
        <v>166</v>
      </c>
      <c r="H209">
        <v>1</v>
      </c>
      <c r="I209" s="13">
        <v>0.5</v>
      </c>
      <c r="J209" s="2">
        <v>3</v>
      </c>
      <c r="K209" s="7">
        <v>3</v>
      </c>
      <c r="L209" s="2">
        <f t="shared" si="22"/>
        <v>0</v>
      </c>
      <c r="M209" s="9">
        <v>3</v>
      </c>
      <c r="N209" s="9">
        <v>3</v>
      </c>
      <c r="O209">
        <f t="shared" si="23"/>
        <v>0</v>
      </c>
      <c r="P209" s="9">
        <v>1</v>
      </c>
      <c r="Q209" s="9">
        <v>1</v>
      </c>
      <c r="R209">
        <f t="shared" si="24"/>
        <v>0</v>
      </c>
      <c r="S209">
        <v>5</v>
      </c>
      <c r="T209">
        <v>5</v>
      </c>
      <c r="U209">
        <f t="shared" si="25"/>
        <v>0</v>
      </c>
      <c r="V209">
        <v>2</v>
      </c>
      <c r="W209">
        <v>2</v>
      </c>
      <c r="X209">
        <f t="shared" si="26"/>
        <v>0</v>
      </c>
      <c r="Y209" s="2">
        <v>0</v>
      </c>
      <c r="Z209" s="2">
        <v>0</v>
      </c>
      <c r="AA209" s="2">
        <v>0</v>
      </c>
      <c r="AB209" s="2">
        <f t="shared" si="28"/>
        <v>0</v>
      </c>
      <c r="AC209" s="2">
        <v>0</v>
      </c>
      <c r="AD209" s="2">
        <v>0</v>
      </c>
      <c r="AE209" s="2">
        <v>0</v>
      </c>
      <c r="AF209" s="2">
        <v>0</v>
      </c>
      <c r="AG209" s="2">
        <v>0</v>
      </c>
      <c r="AH209" s="2">
        <v>0</v>
      </c>
      <c r="AI209" s="2">
        <v>0</v>
      </c>
      <c r="AJ209" s="2">
        <v>0</v>
      </c>
      <c r="AK209">
        <f t="shared" si="27"/>
        <v>1</v>
      </c>
      <c r="AL209" s="2" t="s">
        <v>140</v>
      </c>
    </row>
    <row r="210" spans="1:38" x14ac:dyDescent="0.35">
      <c r="A210" s="7">
        <v>231</v>
      </c>
      <c r="B210" t="s">
        <v>163</v>
      </c>
      <c r="C210" s="7">
        <v>-0.37</v>
      </c>
      <c r="D210" s="2">
        <v>72</v>
      </c>
      <c r="E210" t="s">
        <v>52</v>
      </c>
      <c r="F210" t="s">
        <v>54</v>
      </c>
      <c r="G210" t="s">
        <v>166</v>
      </c>
      <c r="H210">
        <v>1</v>
      </c>
      <c r="I210" s="13">
        <v>0</v>
      </c>
      <c r="J210" s="2">
        <v>2</v>
      </c>
      <c r="K210" s="7">
        <v>2</v>
      </c>
      <c r="L210" s="2">
        <f t="shared" si="22"/>
        <v>0</v>
      </c>
      <c r="M210" s="9">
        <v>9</v>
      </c>
      <c r="N210" s="9">
        <v>8</v>
      </c>
      <c r="O210">
        <f t="shared" si="23"/>
        <v>-1</v>
      </c>
      <c r="P210" s="9">
        <v>1</v>
      </c>
      <c r="Q210" s="9">
        <v>1</v>
      </c>
      <c r="R210">
        <f t="shared" si="24"/>
        <v>0</v>
      </c>
      <c r="S210">
        <v>2</v>
      </c>
      <c r="T210">
        <v>2</v>
      </c>
      <c r="U210">
        <f t="shared" si="25"/>
        <v>0</v>
      </c>
      <c r="V210">
        <v>1</v>
      </c>
      <c r="W210">
        <v>1</v>
      </c>
      <c r="X210">
        <f t="shared" si="26"/>
        <v>0</v>
      </c>
      <c r="Y210" s="2">
        <v>0</v>
      </c>
      <c r="Z210" s="2">
        <v>0</v>
      </c>
      <c r="AA210" s="2">
        <v>0</v>
      </c>
      <c r="AB210" s="2">
        <f t="shared" si="28"/>
        <v>0</v>
      </c>
      <c r="AC210" s="2">
        <v>0</v>
      </c>
      <c r="AD210" s="2">
        <v>0</v>
      </c>
      <c r="AE210" s="2">
        <v>0</v>
      </c>
      <c r="AF210" s="2">
        <v>1</v>
      </c>
      <c r="AG210" s="2">
        <v>0</v>
      </c>
      <c r="AH210" s="2">
        <v>0</v>
      </c>
      <c r="AI210" s="2">
        <v>1</v>
      </c>
      <c r="AJ210" s="2">
        <v>0</v>
      </c>
      <c r="AK210">
        <f t="shared" si="27"/>
        <v>0</v>
      </c>
      <c r="AL210" s="2" t="s">
        <v>9</v>
      </c>
    </row>
    <row r="212" spans="1:38" x14ac:dyDescent="0.35">
      <c r="G212" s="13"/>
      <c r="Y212" s="13"/>
      <c r="Z212" s="13"/>
      <c r="AA212" s="13"/>
      <c r="AB212" s="13"/>
      <c r="AC212" s="13"/>
      <c r="AD212" s="13"/>
      <c r="AE212" s="13"/>
      <c r="AF212" s="13"/>
      <c r="AG212" s="13"/>
      <c r="AH212" s="13"/>
      <c r="AI212" s="13"/>
      <c r="AJ212" s="13"/>
    </row>
    <row r="213" spans="1:38" x14ac:dyDescent="0.35">
      <c r="G213" s="13"/>
      <c r="P213" s="2"/>
      <c r="Q213" s="13"/>
      <c r="R213" s="13"/>
    </row>
    <row r="214" spans="1:38" x14ac:dyDescent="0.35">
      <c r="G214" s="13"/>
      <c r="P214" s="2"/>
      <c r="Q214" s="13"/>
      <c r="R214" s="13"/>
    </row>
    <row r="215" spans="1:38" x14ac:dyDescent="0.35">
      <c r="N215" s="1"/>
      <c r="O215" s="1"/>
      <c r="P215" s="2"/>
      <c r="Q215" s="13"/>
      <c r="R215" s="13"/>
    </row>
    <row r="216" spans="1:38" x14ac:dyDescent="0.35">
      <c r="N216" s="1"/>
      <c r="O216" s="1"/>
      <c r="P216" s="2"/>
      <c r="Q216" s="13"/>
      <c r="R216" s="13"/>
    </row>
    <row r="217" spans="1:38" x14ac:dyDescent="0.35">
      <c r="N217" s="1"/>
      <c r="O217" s="1"/>
      <c r="P217" s="2"/>
      <c r="Q217" s="13"/>
      <c r="R217" s="13"/>
    </row>
    <row r="218" spans="1:38" x14ac:dyDescent="0.35">
      <c r="N218" s="1"/>
      <c r="O218" s="1"/>
      <c r="P218" s="2"/>
      <c r="Q218" s="13"/>
      <c r="R218" s="13"/>
    </row>
    <row r="219" spans="1:38" x14ac:dyDescent="0.35">
      <c r="P219" s="2"/>
      <c r="Q219" s="13"/>
      <c r="R219" s="13"/>
    </row>
    <row r="220" spans="1:38" x14ac:dyDescent="0.35">
      <c r="P220" s="1"/>
    </row>
    <row r="221" spans="1:38" x14ac:dyDescent="0.35">
      <c r="P221" s="1"/>
    </row>
  </sheetData>
  <sortState ref="V216:AC225">
    <sortCondition descending="1" ref="W216:W225"/>
  </sortState>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84"/>
  <sheetViews>
    <sheetView workbookViewId="0">
      <selection activeCell="B22" sqref="B22"/>
    </sheetView>
  </sheetViews>
  <sheetFormatPr defaultRowHeight="14.5" x14ac:dyDescent="0.35"/>
  <cols>
    <col min="2" max="2" width="65.81640625" bestFit="1" customWidth="1"/>
    <col min="3" max="3" width="12.26953125" bestFit="1" customWidth="1"/>
    <col min="5" max="5" width="75.81640625" bestFit="1" customWidth="1"/>
    <col min="6" max="6" width="19.1796875" customWidth="1"/>
    <col min="8" max="8" width="52.54296875" bestFit="1" customWidth="1"/>
    <col min="9" max="9" width="12.26953125" bestFit="1" customWidth="1"/>
  </cols>
  <sheetData>
    <row r="1" spans="2:9" x14ac:dyDescent="0.35">
      <c r="B1" s="47" t="s">
        <v>12</v>
      </c>
      <c r="C1" s="47"/>
      <c r="E1" s="47" t="s">
        <v>63</v>
      </c>
      <c r="F1" s="47"/>
      <c r="G1" s="11"/>
      <c r="H1" s="47" t="s">
        <v>35</v>
      </c>
      <c r="I1" s="47"/>
    </row>
    <row r="2" spans="2:9" x14ac:dyDescent="0.35">
      <c r="B2" s="3"/>
      <c r="H2" s="3"/>
    </row>
    <row r="3" spans="2:9" x14ac:dyDescent="0.35">
      <c r="B3" s="3" t="s">
        <v>11</v>
      </c>
      <c r="C3" s="3" t="s">
        <v>10</v>
      </c>
      <c r="E3" s="3" t="s">
        <v>11</v>
      </c>
      <c r="F3" s="3" t="s">
        <v>10</v>
      </c>
      <c r="H3" s="3" t="s">
        <v>11</v>
      </c>
      <c r="I3" s="3" t="s">
        <v>10</v>
      </c>
    </row>
    <row r="5" spans="2:9" x14ac:dyDescent="0.35">
      <c r="B5" s="6" t="s">
        <v>0</v>
      </c>
      <c r="C5" t="s">
        <v>0</v>
      </c>
      <c r="E5" s="6" t="s">
        <v>64</v>
      </c>
      <c r="H5" s="6" t="s">
        <v>26</v>
      </c>
    </row>
    <row r="6" spans="2:9" x14ac:dyDescent="0.35">
      <c r="B6" s="7" t="s">
        <v>15</v>
      </c>
      <c r="C6" t="s">
        <v>16</v>
      </c>
      <c r="E6" t="s">
        <v>65</v>
      </c>
      <c r="F6" t="s">
        <v>143</v>
      </c>
      <c r="H6" t="s">
        <v>27</v>
      </c>
      <c r="I6" t="s">
        <v>4</v>
      </c>
    </row>
    <row r="7" spans="2:9" x14ac:dyDescent="0.35">
      <c r="B7" t="s">
        <v>17</v>
      </c>
      <c r="C7" t="s">
        <v>18</v>
      </c>
      <c r="E7" t="s">
        <v>66</v>
      </c>
      <c r="F7" t="s">
        <v>144</v>
      </c>
      <c r="H7" t="s">
        <v>36</v>
      </c>
      <c r="I7" t="s">
        <v>136</v>
      </c>
    </row>
    <row r="8" spans="2:9" x14ac:dyDescent="0.35">
      <c r="B8" t="s">
        <v>135</v>
      </c>
      <c r="C8" t="s">
        <v>127</v>
      </c>
      <c r="E8" t="s">
        <v>77</v>
      </c>
      <c r="F8" t="s">
        <v>145</v>
      </c>
      <c r="H8" t="s">
        <v>37</v>
      </c>
      <c r="I8" t="s">
        <v>137</v>
      </c>
    </row>
    <row r="9" spans="2:9" x14ac:dyDescent="0.35">
      <c r="B9" t="s">
        <v>279</v>
      </c>
      <c r="C9" t="s">
        <v>165</v>
      </c>
      <c r="H9" t="s">
        <v>28</v>
      </c>
      <c r="I9" t="s">
        <v>5</v>
      </c>
    </row>
    <row r="10" spans="2:9" x14ac:dyDescent="0.35">
      <c r="B10" t="s">
        <v>280</v>
      </c>
      <c r="C10" t="s">
        <v>164</v>
      </c>
      <c r="E10" t="s">
        <v>78</v>
      </c>
      <c r="F10">
        <v>1</v>
      </c>
      <c r="H10" t="s">
        <v>29</v>
      </c>
      <c r="I10" t="s">
        <v>138</v>
      </c>
    </row>
    <row r="11" spans="2:9" x14ac:dyDescent="0.35">
      <c r="B11" t="s">
        <v>13</v>
      </c>
      <c r="C11" t="s">
        <v>14</v>
      </c>
      <c r="E11" t="s">
        <v>79</v>
      </c>
      <c r="F11">
        <v>2</v>
      </c>
      <c r="H11" t="s">
        <v>30</v>
      </c>
      <c r="I11" t="s">
        <v>6</v>
      </c>
    </row>
    <row r="12" spans="2:9" x14ac:dyDescent="0.35">
      <c r="B12" t="s">
        <v>281</v>
      </c>
      <c r="C12" t="s">
        <v>163</v>
      </c>
      <c r="E12" t="s">
        <v>80</v>
      </c>
      <c r="F12">
        <v>3</v>
      </c>
      <c r="H12" t="s">
        <v>40</v>
      </c>
      <c r="I12" t="s">
        <v>38</v>
      </c>
    </row>
    <row r="13" spans="2:9" x14ac:dyDescent="0.35">
      <c r="E13" t="s">
        <v>81</v>
      </c>
      <c r="F13">
        <v>4</v>
      </c>
      <c r="H13" t="s">
        <v>41</v>
      </c>
      <c r="I13" t="s">
        <v>39</v>
      </c>
    </row>
    <row r="14" spans="2:9" x14ac:dyDescent="0.35">
      <c r="B14" s="3" t="s">
        <v>278</v>
      </c>
      <c r="C14" t="s">
        <v>170</v>
      </c>
      <c r="E14" t="s">
        <v>82</v>
      </c>
      <c r="F14">
        <v>5</v>
      </c>
      <c r="H14" t="s">
        <v>31</v>
      </c>
      <c r="I14" t="s">
        <v>7</v>
      </c>
    </row>
    <row r="15" spans="2:9" x14ac:dyDescent="0.35">
      <c r="B15" s="7" t="s">
        <v>282</v>
      </c>
      <c r="E15" t="s">
        <v>83</v>
      </c>
      <c r="F15">
        <v>6</v>
      </c>
      <c r="H15" t="s">
        <v>45</v>
      </c>
      <c r="I15" t="s">
        <v>48</v>
      </c>
    </row>
    <row r="16" spans="2:9" x14ac:dyDescent="0.35">
      <c r="E16" t="s">
        <v>84</v>
      </c>
      <c r="F16">
        <v>7</v>
      </c>
      <c r="H16" t="s">
        <v>46</v>
      </c>
      <c r="I16" t="s">
        <v>47</v>
      </c>
    </row>
    <row r="17" spans="2:9" x14ac:dyDescent="0.35">
      <c r="B17" s="6" t="s">
        <v>50</v>
      </c>
      <c r="C17" t="s">
        <v>128</v>
      </c>
      <c r="E17" t="s">
        <v>85</v>
      </c>
      <c r="F17">
        <v>8</v>
      </c>
      <c r="H17" t="s">
        <v>32</v>
      </c>
      <c r="I17" t="s">
        <v>8</v>
      </c>
    </row>
    <row r="18" spans="2:9" x14ac:dyDescent="0.35">
      <c r="B18" s="6" t="s">
        <v>51</v>
      </c>
      <c r="C18" t="s">
        <v>49</v>
      </c>
      <c r="E18" t="s">
        <v>86</v>
      </c>
      <c r="F18">
        <v>9</v>
      </c>
      <c r="H18" t="s">
        <v>33</v>
      </c>
      <c r="I18" t="s">
        <v>9</v>
      </c>
    </row>
    <row r="19" spans="2:9" x14ac:dyDescent="0.35">
      <c r="B19" s="6" t="s">
        <v>57</v>
      </c>
      <c r="C19" t="s">
        <v>129</v>
      </c>
      <c r="E19" t="s">
        <v>87</v>
      </c>
      <c r="F19">
        <v>10</v>
      </c>
      <c r="H19" t="s">
        <v>42</v>
      </c>
      <c r="I19" t="s">
        <v>43</v>
      </c>
    </row>
    <row r="20" spans="2:9" x14ac:dyDescent="0.35">
      <c r="B20" s="6" t="s">
        <v>58</v>
      </c>
      <c r="C20" t="s">
        <v>130</v>
      </c>
      <c r="E20" t="s">
        <v>88</v>
      </c>
      <c r="F20">
        <v>11</v>
      </c>
    </row>
    <row r="21" spans="2:9" x14ac:dyDescent="0.35">
      <c r="E21" t="s">
        <v>89</v>
      </c>
      <c r="F21">
        <v>12</v>
      </c>
      <c r="H21" s="6" t="s">
        <v>34</v>
      </c>
      <c r="I21" t="s">
        <v>139</v>
      </c>
    </row>
    <row r="22" spans="2:9" x14ac:dyDescent="0.35">
      <c r="B22" s="6" t="s">
        <v>1</v>
      </c>
      <c r="C22" t="s">
        <v>131</v>
      </c>
      <c r="E22" t="s">
        <v>90</v>
      </c>
      <c r="F22">
        <v>13</v>
      </c>
      <c r="H22" t="s">
        <v>27</v>
      </c>
      <c r="I22" t="s">
        <v>4</v>
      </c>
    </row>
    <row r="23" spans="2:9" x14ac:dyDescent="0.35">
      <c r="B23" s="7" t="s">
        <v>19</v>
      </c>
      <c r="C23" t="s">
        <v>133</v>
      </c>
      <c r="E23" t="s">
        <v>91</v>
      </c>
      <c r="F23">
        <v>14</v>
      </c>
      <c r="H23" t="s">
        <v>36</v>
      </c>
      <c r="I23" t="s">
        <v>136</v>
      </c>
    </row>
    <row r="24" spans="2:9" x14ac:dyDescent="0.35">
      <c r="B24" s="7" t="s">
        <v>20</v>
      </c>
      <c r="C24" t="s">
        <v>134</v>
      </c>
      <c r="E24" t="s">
        <v>93</v>
      </c>
      <c r="F24">
        <v>15</v>
      </c>
      <c r="H24" t="s">
        <v>37</v>
      </c>
      <c r="I24" t="s">
        <v>137</v>
      </c>
    </row>
    <row r="25" spans="2:9" x14ac:dyDescent="0.35">
      <c r="B25" s="7"/>
      <c r="E25" t="s">
        <v>92</v>
      </c>
      <c r="F25">
        <v>16</v>
      </c>
      <c r="H25" t="s">
        <v>29</v>
      </c>
      <c r="I25" t="s">
        <v>138</v>
      </c>
    </row>
    <row r="26" spans="2:9" x14ac:dyDescent="0.35">
      <c r="H26" t="s">
        <v>30</v>
      </c>
      <c r="I26" t="s">
        <v>6</v>
      </c>
    </row>
    <row r="27" spans="2:9" x14ac:dyDescent="0.35">
      <c r="B27" s="6" t="s">
        <v>3</v>
      </c>
      <c r="C27" t="s">
        <v>132</v>
      </c>
      <c r="E27" s="6" t="s">
        <v>120</v>
      </c>
      <c r="F27" t="s">
        <v>146</v>
      </c>
      <c r="H27" t="s">
        <v>40</v>
      </c>
      <c r="I27" t="s">
        <v>38</v>
      </c>
    </row>
    <row r="28" spans="2:9" x14ac:dyDescent="0.35">
      <c r="B28" t="s">
        <v>21</v>
      </c>
      <c r="C28" s="1">
        <v>0</v>
      </c>
      <c r="E28" t="s">
        <v>121</v>
      </c>
      <c r="F28">
        <v>0</v>
      </c>
      <c r="H28" t="s">
        <v>41</v>
      </c>
      <c r="I28" t="s">
        <v>39</v>
      </c>
    </row>
    <row r="29" spans="2:9" x14ac:dyDescent="0.35">
      <c r="B29" t="s">
        <v>22</v>
      </c>
      <c r="C29" s="1">
        <v>0.25</v>
      </c>
      <c r="E29" t="s">
        <v>122</v>
      </c>
      <c r="F29">
        <v>1</v>
      </c>
      <c r="H29" t="s">
        <v>32</v>
      </c>
      <c r="I29" t="s">
        <v>8</v>
      </c>
    </row>
    <row r="30" spans="2:9" x14ac:dyDescent="0.35">
      <c r="B30" t="s">
        <v>23</v>
      </c>
      <c r="C30" s="1">
        <v>0.5</v>
      </c>
      <c r="E30" t="s">
        <v>123</v>
      </c>
      <c r="F30">
        <v>2</v>
      </c>
      <c r="H30" t="s">
        <v>33</v>
      </c>
      <c r="I30" t="s">
        <v>9</v>
      </c>
    </row>
    <row r="31" spans="2:9" x14ac:dyDescent="0.35">
      <c r="B31" t="s">
        <v>24</v>
      </c>
      <c r="C31" s="1">
        <v>0.75</v>
      </c>
      <c r="H31" t="s">
        <v>42</v>
      </c>
      <c r="I31" t="s">
        <v>43</v>
      </c>
    </row>
    <row r="32" spans="2:9" x14ac:dyDescent="0.35">
      <c r="B32" t="s">
        <v>25</v>
      </c>
      <c r="C32" s="1">
        <v>1</v>
      </c>
      <c r="E32" s="6" t="s">
        <v>124</v>
      </c>
      <c r="H32" t="s">
        <v>44</v>
      </c>
      <c r="I32" t="s">
        <v>140</v>
      </c>
    </row>
    <row r="33" spans="2:9" x14ac:dyDescent="0.35">
      <c r="E33" s="7" t="s">
        <v>67</v>
      </c>
      <c r="F33" t="s">
        <v>147</v>
      </c>
      <c r="H33" t="s">
        <v>142</v>
      </c>
      <c r="I33" t="s">
        <v>141</v>
      </c>
    </row>
    <row r="34" spans="2:9" x14ac:dyDescent="0.35">
      <c r="E34" s="7" t="s">
        <v>68</v>
      </c>
      <c r="F34" t="s">
        <v>148</v>
      </c>
    </row>
    <row r="35" spans="2:9" x14ac:dyDescent="0.35">
      <c r="E35" s="7" t="s">
        <v>94</v>
      </c>
      <c r="F35" t="s">
        <v>149</v>
      </c>
    </row>
    <row r="37" spans="2:9" x14ac:dyDescent="0.35">
      <c r="E37" t="s">
        <v>95</v>
      </c>
      <c r="F37">
        <v>1</v>
      </c>
    </row>
    <row r="38" spans="2:9" x14ac:dyDescent="0.35">
      <c r="E38" t="s">
        <v>96</v>
      </c>
      <c r="F38">
        <v>2</v>
      </c>
    </row>
    <row r="39" spans="2:9" x14ac:dyDescent="0.35">
      <c r="E39" t="s">
        <v>97</v>
      </c>
      <c r="F39">
        <v>3</v>
      </c>
    </row>
    <row r="40" spans="2:9" x14ac:dyDescent="0.35">
      <c r="E40" t="s">
        <v>98</v>
      </c>
      <c r="F40">
        <v>4</v>
      </c>
    </row>
    <row r="41" spans="2:9" x14ac:dyDescent="0.35">
      <c r="E41" t="s">
        <v>99</v>
      </c>
      <c r="F41">
        <v>5</v>
      </c>
    </row>
    <row r="42" spans="2:9" x14ac:dyDescent="0.35">
      <c r="E42" t="s">
        <v>100</v>
      </c>
      <c r="F42">
        <v>6</v>
      </c>
    </row>
    <row r="43" spans="2:9" x14ac:dyDescent="0.35">
      <c r="E43" t="s">
        <v>101</v>
      </c>
      <c r="F43">
        <v>7</v>
      </c>
    </row>
    <row r="44" spans="2:9" x14ac:dyDescent="0.35">
      <c r="E44" t="s">
        <v>102</v>
      </c>
      <c r="F44">
        <v>8</v>
      </c>
    </row>
    <row r="45" spans="2:9" x14ac:dyDescent="0.35">
      <c r="B45" s="6"/>
      <c r="E45" t="s">
        <v>103</v>
      </c>
      <c r="F45">
        <v>9</v>
      </c>
    </row>
    <row r="46" spans="2:9" x14ac:dyDescent="0.35">
      <c r="C46" s="8"/>
      <c r="E46" t="s">
        <v>104</v>
      </c>
      <c r="F46">
        <v>10</v>
      </c>
    </row>
    <row r="47" spans="2:9" x14ac:dyDescent="0.35">
      <c r="C47" s="2"/>
    </row>
    <row r="48" spans="2:9" x14ac:dyDescent="0.35">
      <c r="C48" s="2"/>
      <c r="E48" s="6" t="s">
        <v>126</v>
      </c>
      <c r="F48" t="s">
        <v>150</v>
      </c>
    </row>
    <row r="49" spans="5:6" x14ac:dyDescent="0.35">
      <c r="E49" t="s">
        <v>121</v>
      </c>
      <c r="F49">
        <v>0</v>
      </c>
    </row>
    <row r="50" spans="5:6" x14ac:dyDescent="0.35">
      <c r="E50" t="s">
        <v>122</v>
      </c>
      <c r="F50">
        <v>1</v>
      </c>
    </row>
    <row r="51" spans="5:6" x14ac:dyDescent="0.35">
      <c r="E51" t="s">
        <v>123</v>
      </c>
      <c r="F51">
        <v>2</v>
      </c>
    </row>
    <row r="53" spans="5:6" x14ac:dyDescent="0.35">
      <c r="E53" s="6" t="s">
        <v>125</v>
      </c>
    </row>
    <row r="54" spans="5:6" x14ac:dyDescent="0.35">
      <c r="E54" s="7" t="s">
        <v>69</v>
      </c>
      <c r="F54" s="7" t="s">
        <v>151</v>
      </c>
    </row>
    <row r="55" spans="5:6" x14ac:dyDescent="0.35">
      <c r="E55" s="7" t="s">
        <v>70</v>
      </c>
      <c r="F55" s="7" t="s">
        <v>152</v>
      </c>
    </row>
    <row r="56" spans="5:6" x14ac:dyDescent="0.35">
      <c r="E56" s="7" t="s">
        <v>105</v>
      </c>
      <c r="F56" s="7" t="s">
        <v>153</v>
      </c>
    </row>
    <row r="58" spans="5:6" x14ac:dyDescent="0.35">
      <c r="E58" t="s">
        <v>106</v>
      </c>
      <c r="F58">
        <v>1</v>
      </c>
    </row>
    <row r="59" spans="5:6" x14ac:dyDescent="0.35">
      <c r="E59" t="s">
        <v>107</v>
      </c>
      <c r="F59">
        <v>2</v>
      </c>
    </row>
    <row r="60" spans="5:6" x14ac:dyDescent="0.35">
      <c r="E60" t="s">
        <v>108</v>
      </c>
      <c r="F60">
        <v>3</v>
      </c>
    </row>
    <row r="62" spans="5:6" x14ac:dyDescent="0.35">
      <c r="E62" s="6" t="s">
        <v>71</v>
      </c>
    </row>
    <row r="63" spans="5:6" x14ac:dyDescent="0.35">
      <c r="E63" t="s">
        <v>72</v>
      </c>
      <c r="F63" t="s">
        <v>154</v>
      </c>
    </row>
    <row r="64" spans="5:6" x14ac:dyDescent="0.35">
      <c r="E64" t="s">
        <v>73</v>
      </c>
      <c r="F64" t="s">
        <v>155</v>
      </c>
    </row>
    <row r="65" spans="5:6" x14ac:dyDescent="0.35">
      <c r="E65" t="s">
        <v>109</v>
      </c>
      <c r="F65" t="s">
        <v>156</v>
      </c>
    </row>
    <row r="67" spans="5:6" x14ac:dyDescent="0.35">
      <c r="E67" t="s">
        <v>115</v>
      </c>
      <c r="F67">
        <v>1</v>
      </c>
    </row>
    <row r="68" spans="5:6" x14ac:dyDescent="0.35">
      <c r="E68" t="s">
        <v>116</v>
      </c>
      <c r="F68">
        <v>2</v>
      </c>
    </row>
    <row r="69" spans="5:6" x14ac:dyDescent="0.35">
      <c r="E69" t="s">
        <v>117</v>
      </c>
      <c r="F69">
        <v>3</v>
      </c>
    </row>
    <row r="70" spans="5:6" x14ac:dyDescent="0.35">
      <c r="E70" t="s">
        <v>118</v>
      </c>
      <c r="F70">
        <v>4</v>
      </c>
    </row>
    <row r="71" spans="5:6" x14ac:dyDescent="0.35">
      <c r="E71" t="s">
        <v>119</v>
      </c>
      <c r="F71">
        <v>5</v>
      </c>
    </row>
    <row r="73" spans="5:6" x14ac:dyDescent="0.35">
      <c r="E73" s="6" t="s">
        <v>74</v>
      </c>
    </row>
    <row r="74" spans="5:6" x14ac:dyDescent="0.35">
      <c r="E74" t="s">
        <v>75</v>
      </c>
      <c r="F74" t="s">
        <v>157</v>
      </c>
    </row>
    <row r="75" spans="5:6" x14ac:dyDescent="0.35">
      <c r="E75" t="s">
        <v>76</v>
      </c>
      <c r="F75" t="s">
        <v>158</v>
      </c>
    </row>
    <row r="76" spans="5:6" x14ac:dyDescent="0.35">
      <c r="E76" t="s">
        <v>110</v>
      </c>
      <c r="F76" t="s">
        <v>159</v>
      </c>
    </row>
    <row r="78" spans="5:6" x14ac:dyDescent="0.35">
      <c r="E78" t="s">
        <v>111</v>
      </c>
      <c r="F78">
        <v>2</v>
      </c>
    </row>
    <row r="79" spans="5:6" x14ac:dyDescent="0.35">
      <c r="E79" t="s">
        <v>112</v>
      </c>
      <c r="F79">
        <v>1</v>
      </c>
    </row>
    <row r="80" spans="5:6" x14ac:dyDescent="0.35">
      <c r="E80" t="s">
        <v>113</v>
      </c>
      <c r="F80">
        <v>0</v>
      </c>
    </row>
    <row r="81" spans="5:6" x14ac:dyDescent="0.35">
      <c r="E81" t="s">
        <v>114</v>
      </c>
      <c r="F81">
        <v>-1</v>
      </c>
    </row>
    <row r="84" spans="5:6" x14ac:dyDescent="0.35">
      <c r="E84" s="6"/>
    </row>
  </sheetData>
  <mergeCells count="3">
    <mergeCell ref="H1:I1"/>
    <mergeCell ref="B1:C1"/>
    <mergeCell ref="E1:F1"/>
  </mergeCell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workbookViewId="0">
      <pane ySplit="1" topLeftCell="A2" activePane="bottomLeft" state="frozen"/>
      <selection pane="bottomLeft" activeCell="H64" sqref="H64"/>
    </sheetView>
  </sheetViews>
  <sheetFormatPr defaultRowHeight="14.5" x14ac:dyDescent="0.35"/>
  <cols>
    <col min="2" max="2" width="11.7265625" bestFit="1" customWidth="1"/>
    <col min="11" max="11" width="10.54296875" style="26" bestFit="1" customWidth="1"/>
    <col min="12" max="17" width="8.7265625" style="26"/>
    <col min="18" max="18" width="8.7265625" style="27"/>
  </cols>
  <sheetData>
    <row r="1" spans="1:18" x14ac:dyDescent="0.35">
      <c r="C1" s="3" t="s">
        <v>191</v>
      </c>
      <c r="D1" s="3" t="s">
        <v>192</v>
      </c>
      <c r="E1" s="3" t="s">
        <v>193</v>
      </c>
      <c r="F1" s="3" t="s">
        <v>194</v>
      </c>
      <c r="G1" s="3" t="s">
        <v>195</v>
      </c>
      <c r="H1" s="3" t="s">
        <v>196</v>
      </c>
      <c r="I1" s="3" t="s">
        <v>197</v>
      </c>
      <c r="J1" s="3" t="s">
        <v>198</v>
      </c>
      <c r="K1" s="28" t="s">
        <v>191</v>
      </c>
      <c r="L1" s="28" t="s">
        <v>192</v>
      </c>
      <c r="M1" s="28" t="s">
        <v>193</v>
      </c>
      <c r="N1" s="28" t="s">
        <v>194</v>
      </c>
      <c r="O1" s="28" t="s">
        <v>195</v>
      </c>
      <c r="P1" s="28" t="s">
        <v>196</v>
      </c>
      <c r="Q1" s="28" t="s">
        <v>197</v>
      </c>
      <c r="R1" s="28" t="s">
        <v>198</v>
      </c>
    </row>
    <row r="2" spans="1:18" x14ac:dyDescent="0.35">
      <c r="A2" s="3" t="s">
        <v>190</v>
      </c>
      <c r="B2" t="s">
        <v>200</v>
      </c>
      <c r="C2">
        <f>COUNTIF(datasheet!B2:B210,"ID")</f>
        <v>68</v>
      </c>
      <c r="D2">
        <f>COUNTIF(datasheet!B2:B210,"au")</f>
        <v>55</v>
      </c>
      <c r="E2">
        <f>COUNTIF(datasheet!B2:B210,"jp")</f>
        <v>23</v>
      </c>
      <c r="F2">
        <f>COUNTIF(datasheet!B2:B210,"mi")</f>
        <v>17</v>
      </c>
      <c r="G2">
        <f>COUNTIF(datasheet!B2:B210,"fj")</f>
        <v>16</v>
      </c>
      <c r="H2">
        <f>COUNTIF(datasheet!B2:B210,"hi")</f>
        <v>15</v>
      </c>
      <c r="I2">
        <f>COUNTIF(datasheet!B2:B210,"fp")</f>
        <v>15</v>
      </c>
      <c r="J2">
        <f>SUM(C2:I2)</f>
        <v>209</v>
      </c>
      <c r="K2" s="26">
        <f>C2/$J2</f>
        <v>0.32535885167464113</v>
      </c>
      <c r="L2" s="26">
        <f t="shared" ref="L2:Q2" si="0">D2/$J2</f>
        <v>0.26315789473684209</v>
      </c>
      <c r="M2" s="26">
        <f t="shared" si="0"/>
        <v>0.11004784688995216</v>
      </c>
      <c r="N2" s="26">
        <f t="shared" si="0"/>
        <v>8.1339712918660281E-2</v>
      </c>
      <c r="O2" s="26">
        <f t="shared" si="0"/>
        <v>7.6555023923444973E-2</v>
      </c>
      <c r="P2" s="26">
        <f t="shared" si="0"/>
        <v>7.1770334928229665E-2</v>
      </c>
      <c r="Q2" s="26">
        <f t="shared" si="0"/>
        <v>7.1770334928229665E-2</v>
      </c>
      <c r="R2" s="26">
        <f>SUM(K2:Q2)</f>
        <v>1</v>
      </c>
    </row>
    <row r="3" spans="1:18" x14ac:dyDescent="0.35">
      <c r="A3" t="s">
        <v>199</v>
      </c>
      <c r="B3" t="s">
        <v>201</v>
      </c>
      <c r="C3">
        <f>COUNTIFS(datasheet!B2:B210,"id",datasheet!E2:E210,"aus")</f>
        <v>1</v>
      </c>
      <c r="D3">
        <f>COUNTIFS(datasheet!B2:B210,"au",datasheet!E2:E210,"aus")</f>
        <v>50</v>
      </c>
      <c r="E3">
        <f>COUNTIFS(datasheet!B2:B210,"jp",datasheet!E2:E210,"aus")</f>
        <v>0</v>
      </c>
      <c r="F3">
        <f>COUNTIFS(datasheet!B2:B210,"mi",datasheet!E2:E210,"aus")</f>
        <v>0</v>
      </c>
      <c r="G3">
        <f>COUNTIFS(datasheet!B2:B210,"fj",datasheet!E2:E210,"aus")</f>
        <v>10</v>
      </c>
      <c r="H3">
        <f>COUNTIFS(datasheet!B2:B210,"hi",datasheet!E2:E210,"aus")</f>
        <v>0</v>
      </c>
      <c r="I3">
        <f>COUNTIFS(datasheet!B2:B210,"fp",datasheet!E2:E210,"aus")</f>
        <v>0</v>
      </c>
      <c r="J3">
        <f>SUM(C3:I3)</f>
        <v>61</v>
      </c>
      <c r="K3" s="26">
        <f>C3/C$2</f>
        <v>1.4705882352941176E-2</v>
      </c>
      <c r="L3" s="26">
        <f t="shared" ref="L3:R10" si="1">D3/D$2</f>
        <v>0.90909090909090906</v>
      </c>
      <c r="M3" s="26">
        <f t="shared" si="1"/>
        <v>0</v>
      </c>
      <c r="N3" s="26">
        <f t="shared" si="1"/>
        <v>0</v>
      </c>
      <c r="O3" s="26">
        <f t="shared" si="1"/>
        <v>0.625</v>
      </c>
      <c r="P3" s="26">
        <f t="shared" si="1"/>
        <v>0</v>
      </c>
      <c r="Q3" s="26">
        <f t="shared" si="1"/>
        <v>0</v>
      </c>
      <c r="R3" s="26">
        <f t="shared" si="1"/>
        <v>0.291866028708134</v>
      </c>
    </row>
    <row r="4" spans="1:18" x14ac:dyDescent="0.35">
      <c r="B4" t="s">
        <v>202</v>
      </c>
      <c r="C4">
        <f>COUNTIFS(datasheet!B2:B210,"id",datasheet!E2:E210,"eur")</f>
        <v>36</v>
      </c>
      <c r="D4">
        <f>COUNTIFS(datasheet!B2:B210,"au",datasheet!E2:E210,"eur")</f>
        <v>3</v>
      </c>
      <c r="E4">
        <f>COUNTIFS(datasheet!B2:B210,"jp",datasheet!E2:E210,"eur")</f>
        <v>1</v>
      </c>
      <c r="F4">
        <f>COUNTIFS(datasheet!B2:B210,"mi",datasheet!E2:E210,"eur")</f>
        <v>0</v>
      </c>
      <c r="G4">
        <f>COUNTIFS(datasheet!B2:B210,"fj",datasheet!E2:E210,"eur")</f>
        <v>0</v>
      </c>
      <c r="H4">
        <f>COUNTIFS(datasheet!B2:B210,"hi",datasheet!E2:E210,"eur")</f>
        <v>0</v>
      </c>
      <c r="I4">
        <f>COUNTIFS(datasheet!B2:B210,"fp",datasheet!E2:E210,"eur")</f>
        <v>14</v>
      </c>
      <c r="J4">
        <f t="shared" ref="J4:J48" si="2">SUM(C4:I4)</f>
        <v>54</v>
      </c>
      <c r="K4" s="26">
        <f t="shared" ref="K4:K10" si="3">C4/C$2</f>
        <v>0.52941176470588236</v>
      </c>
      <c r="L4" s="26">
        <f t="shared" si="1"/>
        <v>5.4545454545454543E-2</v>
      </c>
      <c r="M4" s="26">
        <f t="shared" si="1"/>
        <v>4.3478260869565216E-2</v>
      </c>
      <c r="N4" s="26">
        <f t="shared" si="1"/>
        <v>0</v>
      </c>
      <c r="O4" s="26">
        <f t="shared" si="1"/>
        <v>0</v>
      </c>
      <c r="P4" s="26">
        <f t="shared" si="1"/>
        <v>0</v>
      </c>
      <c r="Q4" s="26">
        <f t="shared" si="1"/>
        <v>0.93333333333333335</v>
      </c>
      <c r="R4" s="26">
        <f t="shared" si="1"/>
        <v>0.25837320574162681</v>
      </c>
    </row>
    <row r="5" spans="1:18" x14ac:dyDescent="0.35">
      <c r="B5" t="s">
        <v>203</v>
      </c>
      <c r="C5">
        <f>COUNTIFS(datasheet!B2:B210,"id",datasheet!E2:E210,"idn")</f>
        <v>22</v>
      </c>
      <c r="D5">
        <f>COUNTIFS(datasheet!B2:B210,"au",datasheet!E2:E210,"idn")</f>
        <v>0</v>
      </c>
      <c r="E5">
        <f>COUNTIFS(datasheet!B2:B210,"jp",datasheet!E2:E210,"idn")</f>
        <v>0</v>
      </c>
      <c r="F5">
        <f>COUNTIFS(datasheet!B2:B210,"mi",datasheet!E2:E210,"idn")</f>
        <v>0</v>
      </c>
      <c r="G5">
        <f>COUNTIFS(datasheet!B2:B210,"fj",datasheet!E2:E210,"idn")</f>
        <v>0</v>
      </c>
      <c r="H5">
        <f>COUNTIFS(datasheet!B2:B210,"hi",datasheet!E2:E210,"idn")</f>
        <v>0</v>
      </c>
      <c r="I5">
        <f>COUNTIFS(datasheet!B2:B210,"fp",datasheet!E2:E210,"idn")</f>
        <v>0</v>
      </c>
      <c r="J5">
        <f t="shared" si="2"/>
        <v>22</v>
      </c>
      <c r="K5" s="26">
        <f t="shared" si="3"/>
        <v>0.3235294117647059</v>
      </c>
      <c r="L5" s="26">
        <f t="shared" si="1"/>
        <v>0</v>
      </c>
      <c r="M5" s="26">
        <f t="shared" si="1"/>
        <v>0</v>
      </c>
      <c r="N5" s="26">
        <f t="shared" si="1"/>
        <v>0</v>
      </c>
      <c r="O5" s="26">
        <f t="shared" si="1"/>
        <v>0</v>
      </c>
      <c r="P5" s="26">
        <f t="shared" si="1"/>
        <v>0</v>
      </c>
      <c r="Q5" s="26">
        <f t="shared" si="1"/>
        <v>0</v>
      </c>
      <c r="R5" s="26">
        <f t="shared" si="1"/>
        <v>0.10526315789473684</v>
      </c>
    </row>
    <row r="6" spans="1:18" x14ac:dyDescent="0.35">
      <c r="B6" t="s">
        <v>204</v>
      </c>
      <c r="C6">
        <f>COUNTIFS(datasheet!B2:B210,"id",datasheet!E2:E210,"jpn")</f>
        <v>2</v>
      </c>
      <c r="D6">
        <f>COUNTIFS(datasheet!B2:B210,"au",datasheet!E2:E210,"jpn")</f>
        <v>0</v>
      </c>
      <c r="E6">
        <f>COUNTIFS(datasheet!B2:B210,"jp",datasheet!E2:E210,"jpn")</f>
        <v>18</v>
      </c>
      <c r="F6">
        <f>COUNTIFS(datasheet!B2:B210,"mi",datasheet!E2:E210,"jpn")</f>
        <v>7</v>
      </c>
      <c r="G6">
        <f>COUNTIFS(datasheet!B2:B210,"fj",datasheet!E2:E210,"jpn")</f>
        <v>0</v>
      </c>
      <c r="H6">
        <f>COUNTIFS(datasheet!B2:B210,"hi",datasheet!E2:E210,"jpn")</f>
        <v>0</v>
      </c>
      <c r="I6">
        <f>COUNTIFS(datasheet!B2:B210,"fp",datasheet!E2:E210,"jpn")</f>
        <v>1</v>
      </c>
      <c r="J6">
        <f t="shared" si="2"/>
        <v>28</v>
      </c>
      <c r="K6" s="26">
        <f t="shared" si="3"/>
        <v>2.9411764705882353E-2</v>
      </c>
      <c r="L6" s="26">
        <f t="shared" si="1"/>
        <v>0</v>
      </c>
      <c r="M6" s="26">
        <f t="shared" si="1"/>
        <v>0.78260869565217395</v>
      </c>
      <c r="N6" s="26">
        <f t="shared" si="1"/>
        <v>0.41176470588235292</v>
      </c>
      <c r="O6" s="26">
        <f t="shared" si="1"/>
        <v>0</v>
      </c>
      <c r="P6" s="26">
        <f t="shared" si="1"/>
        <v>0</v>
      </c>
      <c r="Q6" s="26">
        <f t="shared" si="1"/>
        <v>6.6666666666666666E-2</v>
      </c>
      <c r="R6" s="26">
        <f t="shared" si="1"/>
        <v>0.13397129186602871</v>
      </c>
    </row>
    <row r="7" spans="1:18" x14ac:dyDescent="0.35">
      <c r="B7" t="s">
        <v>205</v>
      </c>
      <c r="C7">
        <f>COUNTIFS(datasheet!B2:B210,"id",datasheet!E2:E210,"nam")</f>
        <v>5</v>
      </c>
      <c r="D7">
        <f>COUNTIFS(datasheet!B2:B210,"au",datasheet!E2:E210,"nam")</f>
        <v>1</v>
      </c>
      <c r="E7">
        <f>COUNTIFS(datasheet!B2:B210,"jp",datasheet!E2:E210,"nam")</f>
        <v>2</v>
      </c>
      <c r="F7">
        <f>COUNTIFS(datasheet!B2:B210,"mi",datasheet!E2:E210,"nam")</f>
        <v>8</v>
      </c>
      <c r="G7">
        <f>COUNTIFS(datasheet!B2:B210,"fj",datasheet!E2:E210,"nam")</f>
        <v>1</v>
      </c>
      <c r="H7">
        <f>COUNTIFS(datasheet!B2:B210,"hi",datasheet!E2:E210,"nam")</f>
        <v>15</v>
      </c>
      <c r="I7">
        <f>COUNTIFS(datasheet!B2:B210,"fp",datasheet!E2:E210,"nam")</f>
        <v>0</v>
      </c>
      <c r="J7">
        <f t="shared" si="2"/>
        <v>32</v>
      </c>
      <c r="K7" s="26">
        <f t="shared" si="3"/>
        <v>7.3529411764705885E-2</v>
      </c>
      <c r="L7" s="26">
        <f t="shared" si="1"/>
        <v>1.8181818181818181E-2</v>
      </c>
      <c r="M7" s="26">
        <f t="shared" si="1"/>
        <v>8.6956521739130432E-2</v>
      </c>
      <c r="N7" s="26">
        <f t="shared" si="1"/>
        <v>0.47058823529411764</v>
      </c>
      <c r="O7" s="26">
        <f t="shared" si="1"/>
        <v>6.25E-2</v>
      </c>
      <c r="P7" s="26">
        <f t="shared" si="1"/>
        <v>1</v>
      </c>
      <c r="Q7" s="26">
        <f t="shared" si="1"/>
        <v>0</v>
      </c>
      <c r="R7" s="26">
        <f t="shared" si="1"/>
        <v>0.15311004784688995</v>
      </c>
    </row>
    <row r="8" spans="1:18" x14ac:dyDescent="0.35">
      <c r="B8" t="s">
        <v>206</v>
      </c>
      <c r="C8">
        <f>COUNTIFS(datasheet!B2:B210,"id",datasheet!E2:E210,"other")</f>
        <v>2</v>
      </c>
      <c r="D8">
        <f>COUNTIFS(datasheet!B2:B210,"au",datasheet!E2:E210,"other")</f>
        <v>1</v>
      </c>
      <c r="E8">
        <f>COUNTIFS(datasheet!B2:B210,"jp",datasheet!E2:E210,"other")</f>
        <v>2</v>
      </c>
      <c r="F8">
        <f>COUNTIFS(datasheet!B2:B210,"mi",datasheet!E2:E210,"other")</f>
        <v>2</v>
      </c>
      <c r="G8">
        <f>COUNTIFS(datasheet!B2:B210,"fj",datasheet!E2:E210,"other")</f>
        <v>5</v>
      </c>
      <c r="H8">
        <f>COUNTIFS(datasheet!B2:B210,"hi",datasheet!E2:E210,"other")</f>
        <v>0</v>
      </c>
      <c r="I8">
        <f>COUNTIFS(datasheet!B2:B210,"fp",datasheet!E2:E210,"other")</f>
        <v>0</v>
      </c>
      <c r="J8">
        <f t="shared" si="2"/>
        <v>12</v>
      </c>
      <c r="K8" s="26">
        <f t="shared" si="3"/>
        <v>2.9411764705882353E-2</v>
      </c>
      <c r="L8" s="26">
        <f t="shared" si="1"/>
        <v>1.8181818181818181E-2</v>
      </c>
      <c r="M8" s="26">
        <f t="shared" si="1"/>
        <v>8.6956521739130432E-2</v>
      </c>
      <c r="N8" s="26">
        <f t="shared" si="1"/>
        <v>0.11764705882352941</v>
      </c>
      <c r="O8" s="26">
        <f t="shared" si="1"/>
        <v>0.3125</v>
      </c>
      <c r="P8" s="26">
        <f t="shared" si="1"/>
        <v>0</v>
      </c>
      <c r="Q8" s="26">
        <f t="shared" si="1"/>
        <v>0</v>
      </c>
      <c r="R8" s="26">
        <f t="shared" si="1"/>
        <v>5.7416267942583733E-2</v>
      </c>
    </row>
    <row r="9" spans="1:18" x14ac:dyDescent="0.35">
      <c r="A9" t="s">
        <v>207</v>
      </c>
      <c r="B9" t="s">
        <v>167</v>
      </c>
      <c r="C9">
        <f>COUNTIFS(datasheet!B2:B210,"id",datasheet!G2:G210,"female")</f>
        <v>16</v>
      </c>
      <c r="D9">
        <f>COUNTIFS(datasheet!B2:B210,"au",datasheet!G2:G210,"female")</f>
        <v>23</v>
      </c>
      <c r="E9">
        <f>COUNTIFS(datasheet!B2:B210,"jp",datasheet!G2:G210,"female")</f>
        <v>3</v>
      </c>
      <c r="F9">
        <f>COUNTIFS(datasheet!B2:B210,"mi",datasheet!G2:G210,"female")</f>
        <v>3</v>
      </c>
      <c r="G9">
        <f>COUNTIFS(datasheet!B2:B210,"fj",datasheet!G2:G210,"female")</f>
        <v>3</v>
      </c>
      <c r="H9">
        <f>COUNTIFS(datasheet!B2:B210,"hi",datasheet!G2:G210,"female")</f>
        <v>5</v>
      </c>
      <c r="I9">
        <f>COUNTIFS(datasheet!B2:B210,"fp",datasheet!G2:G210,"female")</f>
        <v>4</v>
      </c>
      <c r="J9">
        <f t="shared" si="2"/>
        <v>57</v>
      </c>
      <c r="K9" s="26">
        <f t="shared" si="3"/>
        <v>0.23529411764705882</v>
      </c>
      <c r="L9" s="26">
        <f t="shared" si="1"/>
        <v>0.41818181818181815</v>
      </c>
      <c r="M9" s="26">
        <f t="shared" si="1"/>
        <v>0.13043478260869565</v>
      </c>
      <c r="N9" s="26">
        <f t="shared" si="1"/>
        <v>0.17647058823529413</v>
      </c>
      <c r="O9" s="26">
        <f t="shared" si="1"/>
        <v>0.1875</v>
      </c>
      <c r="P9" s="26">
        <f t="shared" si="1"/>
        <v>0.33333333333333331</v>
      </c>
      <c r="Q9" s="26">
        <f t="shared" si="1"/>
        <v>0.26666666666666666</v>
      </c>
      <c r="R9" s="26">
        <f t="shared" si="1"/>
        <v>0.27272727272727271</v>
      </c>
    </row>
    <row r="10" spans="1:18" x14ac:dyDescent="0.35">
      <c r="B10" t="s">
        <v>166</v>
      </c>
      <c r="C10">
        <f>COUNTIFS(datasheet!B2:B210,"id",datasheet!G2:G210,"male")</f>
        <v>52</v>
      </c>
      <c r="D10">
        <f>COUNTIFS(datasheet!B2:B210,"au",datasheet!G2:G210,"male")</f>
        <v>32</v>
      </c>
      <c r="E10">
        <f>COUNTIFS(datasheet!B2:B210,"jp",datasheet!G2:G210,"male")</f>
        <v>20</v>
      </c>
      <c r="F10">
        <f>COUNTIFS(datasheet!B2:B210,"mi",datasheet!G2:G210,"male")</f>
        <v>14</v>
      </c>
      <c r="G10">
        <f>COUNTIFS(datasheet!B2:B210,"fj",datasheet!G2:G210,"male")</f>
        <v>13</v>
      </c>
      <c r="H10">
        <f>COUNTIFS(datasheet!B2:B210,"hi",datasheet!G2:G210,"male")</f>
        <v>10</v>
      </c>
      <c r="I10">
        <f>COUNTIFS(datasheet!B2:B210,"fp",datasheet!G2:G210,"male")</f>
        <v>11</v>
      </c>
      <c r="J10">
        <f t="shared" si="2"/>
        <v>152</v>
      </c>
      <c r="K10" s="26">
        <f t="shared" si="3"/>
        <v>0.76470588235294112</v>
      </c>
      <c r="L10" s="26">
        <f t="shared" si="1"/>
        <v>0.58181818181818179</v>
      </c>
      <c r="M10" s="26">
        <f t="shared" si="1"/>
        <v>0.86956521739130432</v>
      </c>
      <c r="N10" s="26">
        <f t="shared" si="1"/>
        <v>0.82352941176470584</v>
      </c>
      <c r="O10" s="26">
        <f t="shared" si="1"/>
        <v>0.8125</v>
      </c>
      <c r="P10" s="26">
        <f t="shared" si="1"/>
        <v>0.66666666666666663</v>
      </c>
      <c r="Q10" s="26">
        <f t="shared" si="1"/>
        <v>0.73333333333333328</v>
      </c>
      <c r="R10" s="26">
        <f t="shared" si="1"/>
        <v>0.72727272727272729</v>
      </c>
    </row>
    <row r="11" spans="1:18" x14ac:dyDescent="0.35">
      <c r="A11" t="s">
        <v>208</v>
      </c>
      <c r="B11" t="s">
        <v>60</v>
      </c>
      <c r="C11">
        <f>COUNTIFS(datasheet!B2:B210,"id",datasheet!F2:F210,"18 - 24")</f>
        <v>0</v>
      </c>
      <c r="D11">
        <f>COUNTIFS(datasheet!B2:B210,"au",datasheet!F2:F210,"18 - 24")</f>
        <v>2</v>
      </c>
      <c r="E11">
        <f>COUNTIFS(datasheet!B2:B210,"jp",datasheet!F2:F210,"18 - 24")</f>
        <v>0</v>
      </c>
      <c r="F11">
        <f>COUNTIFS(datasheet!B2:B210,"mi",datasheet!F2:F210,"18 - 24")</f>
        <v>0</v>
      </c>
      <c r="G11">
        <f>COUNTIFS(datasheet!B2:B210,"fj",datasheet!F2:F210,"18 - 24")</f>
        <v>0</v>
      </c>
      <c r="H11">
        <f>COUNTIFS(datasheet!B2:B210,"hi",datasheet!F2:F210,"18 - 24")</f>
        <v>0</v>
      </c>
      <c r="I11">
        <f>COUNTIFS(datasheet!B2:B210,"fp",datasheet!F2:F210,"18 - 24")</f>
        <v>0</v>
      </c>
      <c r="J11">
        <f t="shared" si="2"/>
        <v>2</v>
      </c>
      <c r="K11" s="26">
        <f t="shared" ref="K11:K15" si="4">C11/C$2</f>
        <v>0</v>
      </c>
      <c r="L11" s="26">
        <f t="shared" ref="L11:L15" si="5">D11/D$2</f>
        <v>3.6363636363636362E-2</v>
      </c>
      <c r="M11" s="26">
        <f t="shared" ref="M11:M15" si="6">E11/E$2</f>
        <v>0</v>
      </c>
      <c r="N11" s="26">
        <f t="shared" ref="N11:N15" si="7">F11/F$2</f>
        <v>0</v>
      </c>
      <c r="O11" s="26">
        <f t="shared" ref="O11:O15" si="8">G11/G$2</f>
        <v>0</v>
      </c>
      <c r="P11" s="26">
        <f t="shared" ref="P11:P15" si="9">H11/H$2</f>
        <v>0</v>
      </c>
      <c r="Q11" s="26">
        <f t="shared" ref="Q11:Q15" si="10">I11/I$2</f>
        <v>0</v>
      </c>
      <c r="R11" s="26">
        <f t="shared" ref="R11:R15" si="11">J11/J$2</f>
        <v>9.5693779904306216E-3</v>
      </c>
    </row>
    <row r="12" spans="1:18" x14ac:dyDescent="0.35">
      <c r="B12" t="s">
        <v>59</v>
      </c>
      <c r="C12">
        <f>COUNTIFS(datasheet!B2:B210,"id",datasheet!F2:F210,"25 - 34")</f>
        <v>11</v>
      </c>
      <c r="D12">
        <f>COUNTIFS(datasheet!B2:B210,"au",datasheet!F2:F210,"25 - 34")</f>
        <v>5</v>
      </c>
      <c r="E12">
        <f>COUNTIFS(datasheet!B2:B210,"jp",datasheet!F2:F210,"25 - 34")</f>
        <v>2</v>
      </c>
      <c r="F12">
        <f>COUNTIFS(datasheet!B2:B210,"mi",datasheet!F2:F210,"25 - 34")</f>
        <v>1</v>
      </c>
      <c r="G12">
        <f>COUNTIFS(datasheet!B2:B210,"fj",datasheet!F2:F210,"25 - 34")</f>
        <v>2</v>
      </c>
      <c r="H12">
        <f>COUNTIFS(datasheet!B2:B210,"hi",datasheet!F2:F210,"25 - 34")</f>
        <v>3</v>
      </c>
      <c r="I12">
        <f>COUNTIFS(datasheet!B2:B210,"fp",datasheet!F2:F210,"25 - 34")</f>
        <v>1</v>
      </c>
      <c r="J12">
        <f t="shared" si="2"/>
        <v>25</v>
      </c>
      <c r="K12" s="26">
        <f t="shared" si="4"/>
        <v>0.16176470588235295</v>
      </c>
      <c r="L12" s="26">
        <f t="shared" si="5"/>
        <v>9.0909090909090912E-2</v>
      </c>
      <c r="M12" s="26">
        <f t="shared" si="6"/>
        <v>8.6956521739130432E-2</v>
      </c>
      <c r="N12" s="26">
        <f t="shared" si="7"/>
        <v>5.8823529411764705E-2</v>
      </c>
      <c r="O12" s="26">
        <f t="shared" si="8"/>
        <v>0.125</v>
      </c>
      <c r="P12" s="26">
        <f t="shared" si="9"/>
        <v>0.2</v>
      </c>
      <c r="Q12" s="26">
        <f t="shared" si="10"/>
        <v>6.6666666666666666E-2</v>
      </c>
      <c r="R12" s="26">
        <f t="shared" si="11"/>
        <v>0.11961722488038277</v>
      </c>
    </row>
    <row r="13" spans="1:18" x14ac:dyDescent="0.35">
      <c r="B13" t="s">
        <v>53</v>
      </c>
      <c r="C13">
        <f>COUNTIFS(datasheet!B2:B210,"id",datasheet!F2:F210,"35 - 44")</f>
        <v>27</v>
      </c>
      <c r="D13">
        <f>COUNTIFS(datasheet!B2:B210,"au",datasheet!F2:F210,"35 - 44")</f>
        <v>18</v>
      </c>
      <c r="E13">
        <f>COUNTIFS(datasheet!B2:B210,"jp",datasheet!F2:F210,"35 - 44")</f>
        <v>14</v>
      </c>
      <c r="F13">
        <f>COUNTIFS(datasheet!B2:B210,"mi",datasheet!F2:F210,"35 - 44")</f>
        <v>5</v>
      </c>
      <c r="G13">
        <f>COUNTIFS(datasheet!B2:B210,"fj",datasheet!F2:F210,"35 - 44")</f>
        <v>2</v>
      </c>
      <c r="H13">
        <f>COUNTIFS(datasheet!B2:B210,"hi",datasheet!F2:F210,"35 - 44")</f>
        <v>6</v>
      </c>
      <c r="I13">
        <f>COUNTIFS(datasheet!B2:B210,"fp",datasheet!F2:F210,"35 - 44")</f>
        <v>4</v>
      </c>
      <c r="J13">
        <f t="shared" si="2"/>
        <v>76</v>
      </c>
      <c r="K13" s="26">
        <f t="shared" si="4"/>
        <v>0.39705882352941174</v>
      </c>
      <c r="L13" s="26">
        <f t="shared" si="5"/>
        <v>0.32727272727272727</v>
      </c>
      <c r="M13" s="26">
        <f t="shared" si="6"/>
        <v>0.60869565217391308</v>
      </c>
      <c r="N13" s="26">
        <f t="shared" si="7"/>
        <v>0.29411764705882354</v>
      </c>
      <c r="O13" s="26">
        <f t="shared" si="8"/>
        <v>0.125</v>
      </c>
      <c r="P13" s="26">
        <f t="shared" si="9"/>
        <v>0.4</v>
      </c>
      <c r="Q13" s="26">
        <f t="shared" si="10"/>
        <v>0.26666666666666666</v>
      </c>
      <c r="R13" s="26">
        <f t="shared" si="11"/>
        <v>0.36363636363636365</v>
      </c>
    </row>
    <row r="14" spans="1:18" x14ac:dyDescent="0.35">
      <c r="B14" t="s">
        <v>55</v>
      </c>
      <c r="C14">
        <f>COUNTIFS(datasheet!B2:B210,"id",datasheet!F2:F210,"45 - 54")</f>
        <v>23</v>
      </c>
      <c r="D14">
        <f>COUNTIFS(datasheet!B2:B210,"au",datasheet!F2:F210,"45 - 54")</f>
        <v>14</v>
      </c>
      <c r="E14">
        <f>COUNTIFS(datasheet!B2:B210,"jp",datasheet!F2:F210,"45 - 54")</f>
        <v>6</v>
      </c>
      <c r="F14">
        <f>COUNTIFS(datasheet!B2:B210,"mi",datasheet!F2:F210,"45 - 54")</f>
        <v>4</v>
      </c>
      <c r="G14">
        <f>COUNTIFS(datasheet!B2:B210,"fj",datasheet!F2:F210,"45 - 54")</f>
        <v>2</v>
      </c>
      <c r="H14">
        <f>COUNTIFS(datasheet!B2:B210,"hi",datasheet!F2:F210,"45 - 54")</f>
        <v>0</v>
      </c>
      <c r="I14">
        <f>COUNTIFS(datasheet!B2:B210,"fp",datasheet!F2:F210,"45 - 54")</f>
        <v>9</v>
      </c>
      <c r="J14">
        <f t="shared" si="2"/>
        <v>58</v>
      </c>
      <c r="K14" s="26">
        <f t="shared" si="4"/>
        <v>0.33823529411764708</v>
      </c>
      <c r="L14" s="26">
        <f t="shared" si="5"/>
        <v>0.25454545454545452</v>
      </c>
      <c r="M14" s="26">
        <f t="shared" si="6"/>
        <v>0.2608695652173913</v>
      </c>
      <c r="N14" s="26">
        <f t="shared" si="7"/>
        <v>0.23529411764705882</v>
      </c>
      <c r="O14" s="26">
        <f t="shared" si="8"/>
        <v>0.125</v>
      </c>
      <c r="P14" s="26">
        <f t="shared" si="9"/>
        <v>0</v>
      </c>
      <c r="Q14" s="26">
        <f t="shared" si="10"/>
        <v>0.6</v>
      </c>
      <c r="R14" s="26">
        <f t="shared" si="11"/>
        <v>0.27751196172248804</v>
      </c>
    </row>
    <row r="15" spans="1:18" x14ac:dyDescent="0.35">
      <c r="B15" t="s">
        <v>56</v>
      </c>
      <c r="C15">
        <f>COUNTIFS(datasheet!B2:B210,"id",datasheet!F2:F210,"55 - 64")</f>
        <v>6</v>
      </c>
      <c r="D15">
        <f>COUNTIFS(datasheet!B2:B210,"au",datasheet!F2:F210,"55 - 64")</f>
        <v>13</v>
      </c>
      <c r="E15">
        <f>COUNTIFS(datasheet!B2:B210,"jp",datasheet!F2:F210,"55 - 64")</f>
        <v>1</v>
      </c>
      <c r="F15">
        <f>COUNTIFS(datasheet!B2:B210,"mi",datasheet!F2:F210,"55 - 64")</f>
        <v>6</v>
      </c>
      <c r="G15">
        <f>COUNTIFS(datasheet!B2:B210,"fj",datasheet!F2:F210,"55 - 64")</f>
        <v>7</v>
      </c>
      <c r="H15">
        <f>COUNTIFS(datasheet!B2:B210,"hi",datasheet!F2:F210,"55 - 64")</f>
        <v>6</v>
      </c>
      <c r="I15">
        <f>COUNTIFS(datasheet!B2:B210,"fp",datasheet!F2:F210,"55 - 64")</f>
        <v>1</v>
      </c>
      <c r="J15">
        <f t="shared" si="2"/>
        <v>40</v>
      </c>
      <c r="K15" s="26">
        <f t="shared" si="4"/>
        <v>8.8235294117647065E-2</v>
      </c>
      <c r="L15" s="26">
        <f t="shared" si="5"/>
        <v>0.23636363636363636</v>
      </c>
      <c r="M15" s="26">
        <f t="shared" si="6"/>
        <v>4.3478260869565216E-2</v>
      </c>
      <c r="N15" s="26">
        <f t="shared" si="7"/>
        <v>0.35294117647058826</v>
      </c>
      <c r="O15" s="26">
        <f t="shared" si="8"/>
        <v>0.4375</v>
      </c>
      <c r="P15" s="26">
        <f t="shared" si="9"/>
        <v>0.4</v>
      </c>
      <c r="Q15" s="26">
        <f t="shared" si="10"/>
        <v>6.6666666666666666E-2</v>
      </c>
      <c r="R15" s="26">
        <f t="shared" si="11"/>
        <v>0.19138755980861244</v>
      </c>
    </row>
    <row r="16" spans="1:18" x14ac:dyDescent="0.35">
      <c r="B16" t="s">
        <v>54</v>
      </c>
      <c r="C16">
        <f>COUNTIFS(datasheet!B2:B210,"id",datasheet!F2:F210,"65+")</f>
        <v>1</v>
      </c>
      <c r="D16">
        <f>COUNTIFS(datasheet!B2:B210,"au",datasheet!F2:F210,"65+")</f>
        <v>3</v>
      </c>
      <c r="E16">
        <f>COUNTIFS(datasheet!B2:B210,"jp",datasheet!F2:F210,"65+")</f>
        <v>0</v>
      </c>
      <c r="F16">
        <f>COUNTIFS(datasheet!B2:B210,"mi",datasheet!F2:F210,"65+")</f>
        <v>1</v>
      </c>
      <c r="G16">
        <f>COUNTIFS(datasheet!B2:B210,"fj",datasheet!F2:F210,"65+")</f>
        <v>3</v>
      </c>
      <c r="H16">
        <f>COUNTIFS(datasheet!B2:B210,"hi",datasheet!F2:F210,"65+")</f>
        <v>0</v>
      </c>
      <c r="I16">
        <f>COUNTIFS(datasheet!B2:B210,"fp",datasheet!F2:F210,"65+")</f>
        <v>0</v>
      </c>
      <c r="J16">
        <f t="shared" si="2"/>
        <v>8</v>
      </c>
      <c r="K16" s="26">
        <f t="shared" ref="K16" si="12">C16/C$2</f>
        <v>1.4705882352941176E-2</v>
      </c>
      <c r="L16" s="26">
        <f t="shared" ref="L16" si="13">D16/D$2</f>
        <v>5.4545454545454543E-2</v>
      </c>
      <c r="M16" s="26">
        <f t="shared" ref="M16" si="14">E16/E$2</f>
        <v>0</v>
      </c>
      <c r="N16" s="26">
        <f t="shared" ref="N16" si="15">F16/F$2</f>
        <v>5.8823529411764705E-2</v>
      </c>
      <c r="O16" s="26">
        <f t="shared" ref="O16" si="16">G16/G$2</f>
        <v>0.1875</v>
      </c>
      <c r="P16" s="26">
        <f t="shared" ref="P16" si="17">H16/H$2</f>
        <v>0</v>
      </c>
      <c r="Q16" s="26">
        <f t="shared" ref="Q16" si="18">I16/I$2</f>
        <v>0</v>
      </c>
      <c r="R16" s="26">
        <f t="shared" ref="R16" si="19">J16/J$2</f>
        <v>3.8277511961722487E-2</v>
      </c>
    </row>
    <row r="17" spans="1:18" x14ac:dyDescent="0.35">
      <c r="A17" t="s">
        <v>209</v>
      </c>
      <c r="B17" t="s">
        <v>210</v>
      </c>
      <c r="C17">
        <f>COUNTIFS(datasheet!B2:B210,"id",datasheet!H2:H210,0)</f>
        <v>68</v>
      </c>
      <c r="D17">
        <f>COUNTIFS(datasheet!B2:B210,"au",datasheet!H2:H210,0)</f>
        <v>42</v>
      </c>
      <c r="E17">
        <f>COUNTIFS(datasheet!B2:B210,"jp",datasheet!H2:H210,0)</f>
        <v>23</v>
      </c>
      <c r="F17">
        <f>COUNTIFS(datasheet!B2:B210,"mi",datasheet!H2:H210,0)</f>
        <v>17</v>
      </c>
      <c r="G17">
        <f>COUNTIFS(datasheet!B2:B210,"fj",datasheet!H2:H210,0)</f>
        <v>0</v>
      </c>
      <c r="H17">
        <f>COUNTIFS(datasheet!B2:B210,"hi",datasheet!H2:H210,0)</f>
        <v>15</v>
      </c>
      <c r="I17">
        <f>COUNTIFS(datasheet!B2:B210,"fp",datasheet!H2:H210,0)</f>
        <v>15</v>
      </c>
      <c r="J17">
        <f t="shared" si="2"/>
        <v>180</v>
      </c>
      <c r="K17" s="26">
        <f t="shared" ref="K17:K18" si="20">C17/C$2</f>
        <v>1</v>
      </c>
      <c r="L17" s="26">
        <f t="shared" ref="L17:L18" si="21">D17/D$2</f>
        <v>0.76363636363636367</v>
      </c>
      <c r="M17" s="26">
        <f t="shared" ref="M17:M18" si="22">E17/E$2</f>
        <v>1</v>
      </c>
      <c r="N17" s="26">
        <f t="shared" ref="N17:N18" si="23">F17/F$2</f>
        <v>1</v>
      </c>
      <c r="O17" s="26">
        <f t="shared" ref="O17:O18" si="24">G17/G$2</f>
        <v>0</v>
      </c>
      <c r="P17" s="26">
        <f t="shared" ref="P17:P18" si="25">H17/H$2</f>
        <v>1</v>
      </c>
      <c r="Q17" s="26">
        <f t="shared" ref="Q17:Q18" si="26">I17/I$2</f>
        <v>1</v>
      </c>
      <c r="R17" s="26">
        <f t="shared" ref="R17:R18" si="27">J17/J$2</f>
        <v>0.86124401913875603</v>
      </c>
    </row>
    <row r="18" spans="1:18" x14ac:dyDescent="0.35">
      <c r="B18" t="s">
        <v>211</v>
      </c>
      <c r="C18">
        <f>COUNTIFS(datasheet!B2:B210,"id",datasheet!H2:H210,1)</f>
        <v>0</v>
      </c>
      <c r="D18">
        <f>COUNTIFS(datasheet!B2:B210,"au",datasheet!H2:H210,1)</f>
        <v>13</v>
      </c>
      <c r="E18">
        <f>COUNTIFS(datasheet!B2:B210,"jp",datasheet!H2:H210,1)</f>
        <v>0</v>
      </c>
      <c r="F18">
        <f>COUNTIFS(datasheet!B2:B210,"mi",datasheet!H2:H210,1)</f>
        <v>0</v>
      </c>
      <c r="G18">
        <f>COUNTIFS(datasheet!B2:B210,"fj",datasheet!H2:H210,1)</f>
        <v>16</v>
      </c>
      <c r="H18">
        <f>COUNTIFS(datasheet!B2:B210,"hi",datasheet!H2:H210,1)</f>
        <v>0</v>
      </c>
      <c r="I18">
        <f>COUNTIFS(datasheet!B2:B210,"fp",datasheet!H2:H210,1)</f>
        <v>0</v>
      </c>
      <c r="J18">
        <f t="shared" si="2"/>
        <v>29</v>
      </c>
      <c r="K18" s="26">
        <f t="shared" si="20"/>
        <v>0</v>
      </c>
      <c r="L18" s="26">
        <f t="shared" si="21"/>
        <v>0.23636363636363636</v>
      </c>
      <c r="M18" s="26">
        <f t="shared" si="22"/>
        <v>0</v>
      </c>
      <c r="N18" s="26">
        <f t="shared" si="23"/>
        <v>0</v>
      </c>
      <c r="O18" s="26">
        <f t="shared" si="24"/>
        <v>1</v>
      </c>
      <c r="P18" s="26">
        <f t="shared" si="25"/>
        <v>0</v>
      </c>
      <c r="Q18" s="26">
        <f t="shared" si="26"/>
        <v>0</v>
      </c>
      <c r="R18" s="26">
        <f t="shared" si="27"/>
        <v>0.13875598086124402</v>
      </c>
    </row>
    <row r="19" spans="1:18" x14ac:dyDescent="0.35">
      <c r="A19" t="s">
        <v>212</v>
      </c>
      <c r="B19" s="1">
        <v>0</v>
      </c>
      <c r="C19">
        <f>COUNTIFS(datasheet!B2:B210,"id",datasheet!I2:I210,0)</f>
        <v>16</v>
      </c>
      <c r="D19">
        <f>COUNTIFS(datasheet!B2:B210,"au",datasheet!I2:I210,0)</f>
        <v>20</v>
      </c>
      <c r="E19">
        <f>COUNTIFS(datasheet!B2:B210,"jp",datasheet!I2:I210,0)</f>
        <v>6</v>
      </c>
      <c r="F19">
        <f>COUNTIFS(datasheet!B2:B210,"mi",datasheet!I2:I210,0)</f>
        <v>5</v>
      </c>
      <c r="G19">
        <f>COUNTIFS(datasheet!B2:B210,"fj",datasheet!I2:I210,0)</f>
        <v>3</v>
      </c>
      <c r="H19">
        <f>COUNTIFS(datasheet!B2:B210,"hi",datasheet!I2:I210,0)</f>
        <v>5</v>
      </c>
      <c r="I19">
        <f>COUNTIFS(datasheet!B2:B210,"fp",datasheet!I2:I210,0)</f>
        <v>5</v>
      </c>
      <c r="J19">
        <f t="shared" si="2"/>
        <v>60</v>
      </c>
      <c r="K19" s="26">
        <f t="shared" ref="K19:K23" si="28">C19/C$2</f>
        <v>0.23529411764705882</v>
      </c>
      <c r="L19" s="26">
        <f t="shared" ref="L19:L23" si="29">D19/D$2</f>
        <v>0.36363636363636365</v>
      </c>
      <c r="M19" s="26">
        <f t="shared" ref="M19:M23" si="30">E19/E$2</f>
        <v>0.2608695652173913</v>
      </c>
      <c r="N19" s="26">
        <f t="shared" ref="N19:N23" si="31">F19/F$2</f>
        <v>0.29411764705882354</v>
      </c>
      <c r="O19" s="26">
        <f t="shared" ref="O19:O23" si="32">G19/G$2</f>
        <v>0.1875</v>
      </c>
      <c r="P19" s="26">
        <f t="shared" ref="P19:P23" si="33">H19/H$2</f>
        <v>0.33333333333333331</v>
      </c>
      <c r="Q19" s="26">
        <f t="shared" ref="Q19:Q23" si="34">I19/I$2</f>
        <v>0.33333333333333331</v>
      </c>
      <c r="R19" s="26">
        <f t="shared" ref="R19:R23" si="35">J19/J$2</f>
        <v>0.28708133971291866</v>
      </c>
    </row>
    <row r="20" spans="1:18" x14ac:dyDescent="0.35">
      <c r="B20" s="1">
        <v>0.25</v>
      </c>
      <c r="C20">
        <f>COUNTIFS(datasheet!B2:B210,"id",datasheet!I2:I210,0.25)</f>
        <v>31</v>
      </c>
      <c r="D20">
        <f>COUNTIFS(datasheet!B2:B210,"au",datasheet!I2:I210,0.25)</f>
        <v>9</v>
      </c>
      <c r="E20">
        <f>COUNTIFS(datasheet!B2:B210,"jp",datasheet!I2:I210,0.25)</f>
        <v>6</v>
      </c>
      <c r="F20">
        <f>COUNTIFS(datasheet!B2:B210,"mi",datasheet!I2:I210,0.25)</f>
        <v>4</v>
      </c>
      <c r="G20">
        <f>COUNTIFS(datasheet!B2:B210,"fj",datasheet!I2:I210,0.25)</f>
        <v>5</v>
      </c>
      <c r="H20">
        <f>COUNTIFS(datasheet!B2:B210,"hi",datasheet!I2:I210,0.25)</f>
        <v>2</v>
      </c>
      <c r="I20">
        <f>COUNTIFS(datasheet!B2:B210,"fp",datasheet!I2:I210,0.25)</f>
        <v>3</v>
      </c>
      <c r="J20">
        <f t="shared" si="2"/>
        <v>60</v>
      </c>
      <c r="K20" s="26">
        <f t="shared" si="28"/>
        <v>0.45588235294117646</v>
      </c>
      <c r="L20" s="26">
        <f t="shared" si="29"/>
        <v>0.16363636363636364</v>
      </c>
      <c r="M20" s="26">
        <f t="shared" si="30"/>
        <v>0.2608695652173913</v>
      </c>
      <c r="N20" s="26">
        <f t="shared" si="31"/>
        <v>0.23529411764705882</v>
      </c>
      <c r="O20" s="26">
        <f t="shared" si="32"/>
        <v>0.3125</v>
      </c>
      <c r="P20" s="26">
        <f t="shared" si="33"/>
        <v>0.13333333333333333</v>
      </c>
      <c r="Q20" s="26">
        <f t="shared" si="34"/>
        <v>0.2</v>
      </c>
      <c r="R20" s="26">
        <f t="shared" si="35"/>
        <v>0.28708133971291866</v>
      </c>
    </row>
    <row r="21" spans="1:18" x14ac:dyDescent="0.35">
      <c r="B21" s="1">
        <v>0.5</v>
      </c>
      <c r="C21">
        <f>COUNTIFS(datasheet!B2:B210,"id",datasheet!I2:I210,0.5)</f>
        <v>12</v>
      </c>
      <c r="D21">
        <f>COUNTIFS(datasheet!B2:B210,"au",datasheet!I2:I210,0.5)</f>
        <v>7</v>
      </c>
      <c r="E21">
        <f>COUNTIFS(datasheet!B2:B210,"jp",datasheet!I2:I210,0.5)</f>
        <v>4</v>
      </c>
      <c r="F21">
        <f>COUNTIFS(datasheet!B2:B210,"mi",datasheet!I2:I210,0.5)</f>
        <v>4</v>
      </c>
      <c r="G21">
        <f>COUNTIFS(datasheet!B2:B210,"fj",datasheet!I2:I210,0.5)</f>
        <v>3</v>
      </c>
      <c r="H21">
        <f>COUNTIFS(datasheet!B2:B210,"hi",datasheet!I2:I210,0.5)</f>
        <v>2</v>
      </c>
      <c r="I21">
        <f>COUNTIFS(datasheet!B2:B210,"fp",datasheet!I2:I210,0.5)</f>
        <v>1</v>
      </c>
      <c r="J21">
        <f t="shared" si="2"/>
        <v>33</v>
      </c>
      <c r="K21" s="26">
        <f t="shared" si="28"/>
        <v>0.17647058823529413</v>
      </c>
      <c r="L21" s="26">
        <f t="shared" si="29"/>
        <v>0.12727272727272726</v>
      </c>
      <c r="M21" s="26">
        <f t="shared" si="30"/>
        <v>0.17391304347826086</v>
      </c>
      <c r="N21" s="26">
        <f t="shared" si="31"/>
        <v>0.23529411764705882</v>
      </c>
      <c r="O21" s="26">
        <f t="shared" si="32"/>
        <v>0.1875</v>
      </c>
      <c r="P21" s="26">
        <f t="shared" si="33"/>
        <v>0.13333333333333333</v>
      </c>
      <c r="Q21" s="26">
        <f t="shared" si="34"/>
        <v>6.6666666666666666E-2</v>
      </c>
      <c r="R21" s="26">
        <f t="shared" si="35"/>
        <v>0.15789473684210525</v>
      </c>
    </row>
    <row r="22" spans="1:18" x14ac:dyDescent="0.35">
      <c r="B22" s="1">
        <v>0.75</v>
      </c>
      <c r="C22">
        <f>COUNTIFS(datasheet!B2:B210,"id",datasheet!I2:I210,0.75)</f>
        <v>4</v>
      </c>
      <c r="D22">
        <f>COUNTIFS(datasheet!B2:B210,"au",datasheet!I2:I210,0.75)</f>
        <v>8</v>
      </c>
      <c r="E22">
        <f>COUNTIFS(datasheet!B2:B210,"jp",datasheet!I2:I210,0.75)</f>
        <v>5</v>
      </c>
      <c r="F22">
        <f>COUNTIFS(datasheet!B2:B210,"mi",datasheet!I2:I210,0.75)</f>
        <v>3</v>
      </c>
      <c r="G22">
        <f>COUNTIFS(datasheet!B2:B210,"fj",datasheet!I2:I210,0.75)</f>
        <v>4</v>
      </c>
      <c r="H22">
        <f>COUNTIFS(datasheet!B2:B210,"hi",datasheet!I2:I210,0.75)</f>
        <v>1</v>
      </c>
      <c r="I22">
        <f>COUNTIFS(datasheet!B2:B210,"fp",datasheet!I2:I210,0.75)</f>
        <v>2</v>
      </c>
      <c r="J22">
        <f t="shared" si="2"/>
        <v>27</v>
      </c>
      <c r="K22" s="26">
        <f t="shared" si="28"/>
        <v>5.8823529411764705E-2</v>
      </c>
      <c r="L22" s="26">
        <f t="shared" si="29"/>
        <v>0.14545454545454545</v>
      </c>
      <c r="M22" s="26">
        <f t="shared" si="30"/>
        <v>0.21739130434782608</v>
      </c>
      <c r="N22" s="26">
        <f t="shared" si="31"/>
        <v>0.17647058823529413</v>
      </c>
      <c r="O22" s="26">
        <f t="shared" si="32"/>
        <v>0.25</v>
      </c>
      <c r="P22" s="26">
        <f t="shared" si="33"/>
        <v>6.6666666666666666E-2</v>
      </c>
      <c r="Q22" s="26">
        <f t="shared" si="34"/>
        <v>0.13333333333333333</v>
      </c>
      <c r="R22" s="26">
        <f t="shared" si="35"/>
        <v>0.12918660287081341</v>
      </c>
    </row>
    <row r="23" spans="1:18" x14ac:dyDescent="0.35">
      <c r="B23" s="1">
        <v>1</v>
      </c>
      <c r="C23">
        <f>COUNTIFS(datasheet!B2:B210,"id",datasheet!I2:I210,1)</f>
        <v>5</v>
      </c>
      <c r="D23">
        <f>COUNTIFS(datasheet!B2:B210,"au",datasheet!I2:I210,1)</f>
        <v>11</v>
      </c>
      <c r="E23">
        <f>COUNTIFS(datasheet!B2:B210,"jp",datasheet!I2:I210,1)</f>
        <v>2</v>
      </c>
      <c r="F23">
        <f>COUNTIFS(datasheet!B2:B210,"mi",datasheet!I2:I210,1)</f>
        <v>1</v>
      </c>
      <c r="G23">
        <f>COUNTIFS(datasheet!B2:B210,"fj",datasheet!I2:I210,1)</f>
        <v>1</v>
      </c>
      <c r="H23">
        <f>COUNTIFS(datasheet!B2:B210,"hi",datasheet!I2:I210,1)</f>
        <v>5</v>
      </c>
      <c r="I23">
        <f>COUNTIFS(datasheet!B2:B210,"fp",datasheet!I2:I210,1)</f>
        <v>4</v>
      </c>
      <c r="J23">
        <f t="shared" si="2"/>
        <v>29</v>
      </c>
      <c r="K23" s="26">
        <f t="shared" si="28"/>
        <v>7.3529411764705885E-2</v>
      </c>
      <c r="L23" s="26">
        <f t="shared" si="29"/>
        <v>0.2</v>
      </c>
      <c r="M23" s="26">
        <f t="shared" si="30"/>
        <v>8.6956521739130432E-2</v>
      </c>
      <c r="N23" s="26">
        <f t="shared" si="31"/>
        <v>5.8823529411764705E-2</v>
      </c>
      <c r="O23" s="26">
        <f t="shared" si="32"/>
        <v>6.25E-2</v>
      </c>
      <c r="P23" s="26">
        <f t="shared" si="33"/>
        <v>0.33333333333333331</v>
      </c>
      <c r="Q23" s="26">
        <f t="shared" si="34"/>
        <v>0.26666666666666666</v>
      </c>
      <c r="R23" s="26">
        <f t="shared" si="35"/>
        <v>0.13875598086124402</v>
      </c>
    </row>
    <row r="24" spans="1:18" x14ac:dyDescent="0.35">
      <c r="A24" t="s">
        <v>213</v>
      </c>
      <c r="B24" t="s">
        <v>214</v>
      </c>
      <c r="C24">
        <f>COUNTIFS(datasheet!B2:B210,"id",datasheet!Z2:Z210,1)</f>
        <v>23</v>
      </c>
      <c r="D24">
        <f>COUNTIFS(datasheet!B2:B210,"au",datasheet!Z2:Z210,1)</f>
        <v>21</v>
      </c>
      <c r="E24">
        <f>COUNTIFS(datasheet!B2:B210,"jp",datasheet!Z2:Z210,1)</f>
        <v>8</v>
      </c>
      <c r="F24">
        <f>COUNTIFS(datasheet!B2:B210,"mi",datasheet!Z2:Z210,1)</f>
        <v>6</v>
      </c>
      <c r="G24">
        <f>COUNTIFS(datasheet!B2:B210,"fj",datasheet!Z2:Z210,1)</f>
        <v>7</v>
      </c>
      <c r="H24">
        <f>COUNTIFS(datasheet!B2:B210,"hi",datasheet!Z2:Z210,1)</f>
        <v>2</v>
      </c>
      <c r="I24">
        <f>COUNTIFS(datasheet!B2:B210,"fp",datasheet!Z2:Z210,1)</f>
        <v>5</v>
      </c>
      <c r="J24">
        <f t="shared" si="2"/>
        <v>72</v>
      </c>
      <c r="K24" s="26">
        <f t="shared" ref="K24:K33" si="36">C24/C$2</f>
        <v>0.33823529411764708</v>
      </c>
      <c r="L24" s="26">
        <f t="shared" ref="L24:L33" si="37">D24/D$2</f>
        <v>0.38181818181818183</v>
      </c>
      <c r="M24" s="26">
        <f t="shared" ref="M24:M33" si="38">E24/E$2</f>
        <v>0.34782608695652173</v>
      </c>
      <c r="N24" s="26">
        <f t="shared" ref="N24:N33" si="39">F24/F$2</f>
        <v>0.35294117647058826</v>
      </c>
      <c r="O24" s="26">
        <f t="shared" ref="O24:O33" si="40">G24/G$2</f>
        <v>0.4375</v>
      </c>
      <c r="P24" s="26">
        <f t="shared" ref="P24:P33" si="41">H24/H$2</f>
        <v>0.13333333333333333</v>
      </c>
      <c r="Q24" s="26">
        <f t="shared" ref="Q24:Q33" si="42">I24/I$2</f>
        <v>0.33333333333333331</v>
      </c>
      <c r="R24" s="26">
        <f t="shared" ref="R24:R33" si="43">J24/J$2</f>
        <v>0.34449760765550241</v>
      </c>
    </row>
    <row r="25" spans="1:18" x14ac:dyDescent="0.35">
      <c r="B25" t="s">
        <v>215</v>
      </c>
      <c r="C25">
        <f>COUNTIFS(datasheet!B2:B210,"id",datasheet!AA2:AA210,1)</f>
        <v>13</v>
      </c>
      <c r="D25">
        <f>COUNTIFS(datasheet!B2:B210,"au",datasheet!AA2:AA210,1)</f>
        <v>11</v>
      </c>
      <c r="E25">
        <f>COUNTIFS(datasheet!B2:B210,"jp",datasheet!AA2:AA210,1)</f>
        <v>4</v>
      </c>
      <c r="F25">
        <f>COUNTIFS(datasheet!B2:B210,"mi",datasheet!AA2:AA210,1)</f>
        <v>4</v>
      </c>
      <c r="G25">
        <f>COUNTIFS(datasheet!B2:B210,"fj",datasheet!AA2:AA210,1)</f>
        <v>3</v>
      </c>
      <c r="H25">
        <f>COUNTIFS(datasheet!B2:B210,"hi",datasheet!AA2:AA210,1)</f>
        <v>2</v>
      </c>
      <c r="I25">
        <f>COUNTIFS(datasheet!B2:B210,"fp",datasheet!AA2:AA210,1)</f>
        <v>4</v>
      </c>
      <c r="J25">
        <f t="shared" si="2"/>
        <v>41</v>
      </c>
      <c r="K25" s="26">
        <f t="shared" si="36"/>
        <v>0.19117647058823528</v>
      </c>
      <c r="L25" s="26">
        <f t="shared" si="37"/>
        <v>0.2</v>
      </c>
      <c r="M25" s="26">
        <f t="shared" si="38"/>
        <v>0.17391304347826086</v>
      </c>
      <c r="N25" s="26">
        <f t="shared" si="39"/>
        <v>0.23529411764705882</v>
      </c>
      <c r="O25" s="26">
        <f t="shared" si="40"/>
        <v>0.1875</v>
      </c>
      <c r="P25" s="26">
        <f t="shared" si="41"/>
        <v>0.13333333333333333</v>
      </c>
      <c r="Q25" s="26">
        <f t="shared" si="42"/>
        <v>0.26666666666666666</v>
      </c>
      <c r="R25" s="26">
        <f t="shared" si="43"/>
        <v>0.19617224880382775</v>
      </c>
    </row>
    <row r="26" spans="1:18" x14ac:dyDescent="0.35">
      <c r="B26" t="s">
        <v>216</v>
      </c>
      <c r="C26">
        <f>COUNTIFS(datasheet!B2:B210,"id",datasheet!AC2:AC210,1)</f>
        <v>7</v>
      </c>
      <c r="D26">
        <f>COUNTIFS(datasheet!B2:B210,"au",datasheet!AC2:AC210,1)</f>
        <v>14</v>
      </c>
      <c r="E26">
        <f>COUNTIFS(datasheet!B2:B210,"jp",datasheet!AC2:AC210,1)</f>
        <v>3</v>
      </c>
      <c r="F26">
        <f>COUNTIFS(datasheet!B2:B210,"mi",datasheet!AC2:AC210,1)</f>
        <v>2</v>
      </c>
      <c r="G26">
        <f>COUNTIFS(datasheet!B2:B210,"fj",datasheet!AC2:AC210,1)</f>
        <v>3</v>
      </c>
      <c r="H26">
        <f>COUNTIFS(datasheet!B2:B210,"hi",datasheet!AC2:AC210,1)</f>
        <v>2</v>
      </c>
      <c r="I26">
        <f>COUNTIFS(datasheet!B2:B210,"fp",datasheet!AC2:AC210,1)</f>
        <v>0</v>
      </c>
      <c r="J26">
        <f t="shared" si="2"/>
        <v>31</v>
      </c>
      <c r="K26" s="26">
        <f t="shared" si="36"/>
        <v>0.10294117647058823</v>
      </c>
      <c r="L26" s="26">
        <f t="shared" si="37"/>
        <v>0.25454545454545452</v>
      </c>
      <c r="M26" s="26">
        <f t="shared" si="38"/>
        <v>0.13043478260869565</v>
      </c>
      <c r="N26" s="26">
        <f t="shared" si="39"/>
        <v>0.11764705882352941</v>
      </c>
      <c r="O26" s="26">
        <f t="shared" si="40"/>
        <v>0.1875</v>
      </c>
      <c r="P26" s="26">
        <f t="shared" si="41"/>
        <v>0.13333333333333333</v>
      </c>
      <c r="Q26" s="26">
        <f t="shared" si="42"/>
        <v>0</v>
      </c>
      <c r="R26" s="26">
        <f t="shared" si="43"/>
        <v>0.14832535885167464</v>
      </c>
    </row>
    <row r="27" spans="1:18" x14ac:dyDescent="0.35">
      <c r="B27" t="s">
        <v>217</v>
      </c>
      <c r="C27">
        <f>COUNTIFS(datasheet!B2:B210,"id",datasheet!AD2:AD210,1)</f>
        <v>50</v>
      </c>
      <c r="D27">
        <f>COUNTIFS(datasheet!B2:B210,"au",datasheet!AD2:AD210,1)</f>
        <v>23</v>
      </c>
      <c r="E27">
        <f>COUNTIFS(datasheet!B2:B210,"jp",datasheet!AD2:AD210,1)</f>
        <v>10</v>
      </c>
      <c r="F27">
        <f>COUNTIFS(datasheet!B2:B210,"mi",datasheet!AD2:AD210,1)</f>
        <v>12</v>
      </c>
      <c r="G27">
        <f>COUNTIFS(datasheet!B2:B210,"fj",datasheet!AD2:AD210,1)</f>
        <v>8</v>
      </c>
      <c r="H27">
        <f>COUNTIFS(datasheet!B2:B210,"hi",datasheet!AD2:AD210,1)</f>
        <v>7</v>
      </c>
      <c r="I27">
        <f>COUNTIFS(datasheet!B2:B210,"fp",datasheet!AD2:AD210,1)</f>
        <v>6</v>
      </c>
      <c r="J27">
        <f t="shared" si="2"/>
        <v>116</v>
      </c>
      <c r="K27" s="26">
        <f t="shared" si="36"/>
        <v>0.73529411764705888</v>
      </c>
      <c r="L27" s="26">
        <f t="shared" si="37"/>
        <v>0.41818181818181815</v>
      </c>
      <c r="M27" s="26">
        <f t="shared" si="38"/>
        <v>0.43478260869565216</v>
      </c>
      <c r="N27" s="26">
        <f t="shared" si="39"/>
        <v>0.70588235294117652</v>
      </c>
      <c r="O27" s="26">
        <f t="shared" si="40"/>
        <v>0.5</v>
      </c>
      <c r="P27" s="26">
        <f t="shared" si="41"/>
        <v>0.46666666666666667</v>
      </c>
      <c r="Q27" s="26">
        <f t="shared" si="42"/>
        <v>0.4</v>
      </c>
      <c r="R27" s="26">
        <f t="shared" si="43"/>
        <v>0.55502392344497609</v>
      </c>
    </row>
    <row r="28" spans="1:18" x14ac:dyDescent="0.35">
      <c r="B28" t="s">
        <v>218</v>
      </c>
      <c r="C28">
        <f>COUNTIFS(datasheet!B2:B210,"id",datasheet!Y2:Y210,1)</f>
        <v>5</v>
      </c>
      <c r="D28">
        <f>COUNTIFS(datasheet!B2:B210,"au",datasheet!Y2:Y210,1)</f>
        <v>5</v>
      </c>
      <c r="E28">
        <f>COUNTIFS(datasheet!B2:B210,"jp",datasheet!Y2:Y210,1)</f>
        <v>0</v>
      </c>
      <c r="F28">
        <f>COUNTIFS(datasheet!B2:B210,"mi",datasheet!Y2:Y210,1)</f>
        <v>1</v>
      </c>
      <c r="G28">
        <f>COUNTIFS(datasheet!B2:B210,"fj",datasheet!Y2:Y210,1)</f>
        <v>0</v>
      </c>
      <c r="H28">
        <f>COUNTIFS(datasheet!B2:B210,"hi",datasheet!Y2:Y210,1)</f>
        <v>1</v>
      </c>
      <c r="I28">
        <f>COUNTIFS(datasheet!B2:B210,"fp",datasheet!Y2:Y210,1)</f>
        <v>0</v>
      </c>
      <c r="J28">
        <f t="shared" si="2"/>
        <v>12</v>
      </c>
      <c r="K28" s="26">
        <f t="shared" si="36"/>
        <v>7.3529411764705885E-2</v>
      </c>
      <c r="L28" s="26">
        <f t="shared" si="37"/>
        <v>9.0909090909090912E-2</v>
      </c>
      <c r="M28" s="26">
        <f t="shared" si="38"/>
        <v>0</v>
      </c>
      <c r="N28" s="26">
        <f t="shared" si="39"/>
        <v>5.8823529411764705E-2</v>
      </c>
      <c r="O28" s="26">
        <f t="shared" si="40"/>
        <v>0</v>
      </c>
      <c r="P28" s="26">
        <f t="shared" si="41"/>
        <v>6.6666666666666666E-2</v>
      </c>
      <c r="Q28" s="26">
        <f t="shared" si="42"/>
        <v>0</v>
      </c>
      <c r="R28" s="26">
        <f t="shared" si="43"/>
        <v>5.7416267942583733E-2</v>
      </c>
    </row>
    <row r="29" spans="1:18" x14ac:dyDescent="0.35">
      <c r="B29" t="s">
        <v>219</v>
      </c>
      <c r="C29">
        <f>COUNTIFS(datasheet!B2:B210,"id",datasheet!AG2:AG210,1)</f>
        <v>6</v>
      </c>
      <c r="D29">
        <f>COUNTIFS(datasheet!B2:B210,"au",datasheet!AG2:AG210,1)</f>
        <v>7</v>
      </c>
      <c r="E29">
        <f>COUNTIFS(datasheet!B2:B210,"jp",datasheet!AG2:AG210,1)</f>
        <v>0</v>
      </c>
      <c r="F29">
        <f>COUNTIFS(datasheet!B2:B210,"mi",datasheet!AG2:AG210,1)</f>
        <v>1</v>
      </c>
      <c r="G29">
        <f>COUNTIFS(datasheet!B2:B210,"fj",datasheet!AG2:AG210,1)</f>
        <v>5</v>
      </c>
      <c r="H29">
        <f>COUNTIFS(datasheet!B2:B210,"hi",datasheet!AG2:AG210,1)</f>
        <v>0</v>
      </c>
      <c r="I29">
        <f>COUNTIFS(datasheet!B2:B210,"fp",datasheet!AG2:AG210,1)</f>
        <v>0</v>
      </c>
      <c r="J29">
        <f t="shared" si="2"/>
        <v>19</v>
      </c>
      <c r="K29" s="26">
        <f t="shared" si="36"/>
        <v>8.8235294117647065E-2</v>
      </c>
      <c r="L29" s="26">
        <f t="shared" si="37"/>
        <v>0.12727272727272726</v>
      </c>
      <c r="M29" s="26">
        <f t="shared" si="38"/>
        <v>0</v>
      </c>
      <c r="N29" s="26">
        <f t="shared" si="39"/>
        <v>5.8823529411764705E-2</v>
      </c>
      <c r="O29" s="26">
        <f t="shared" si="40"/>
        <v>0.3125</v>
      </c>
      <c r="P29" s="26">
        <f t="shared" si="41"/>
        <v>0</v>
      </c>
      <c r="Q29" s="26">
        <f t="shared" si="42"/>
        <v>0</v>
      </c>
      <c r="R29" s="26">
        <f t="shared" si="43"/>
        <v>9.0909090909090912E-2</v>
      </c>
    </row>
    <row r="30" spans="1:18" x14ac:dyDescent="0.35">
      <c r="B30" t="s">
        <v>220</v>
      </c>
      <c r="C30">
        <f>COUNTIFS(datasheet!B2:B210,"id",datasheet!AH2:AH210,1)</f>
        <v>21</v>
      </c>
      <c r="D30">
        <f>COUNTIFS(datasheet!B2:B210,"au",datasheet!AH2:AH210,1)</f>
        <v>6</v>
      </c>
      <c r="E30">
        <f>COUNTIFS(datasheet!B2:B210,"jp",datasheet!AH2:AH210,1)</f>
        <v>2</v>
      </c>
      <c r="F30">
        <f>COUNTIFS(datasheet!B2:B210,"mi",datasheet!AH2:AH210,1)</f>
        <v>5</v>
      </c>
      <c r="G30">
        <f>COUNTIFS(datasheet!B2:B210,"fj",datasheet!AH2:AH210,1)</f>
        <v>2</v>
      </c>
      <c r="H30">
        <f>COUNTIFS(datasheet!B2:B210,"hi",datasheet!AH2:AH210,1)</f>
        <v>1</v>
      </c>
      <c r="I30">
        <f>COUNTIFS(datasheet!B2:B210,"fp",datasheet!AH2:AH210,1)</f>
        <v>1</v>
      </c>
      <c r="J30">
        <f t="shared" si="2"/>
        <v>38</v>
      </c>
      <c r="K30" s="26">
        <f t="shared" si="36"/>
        <v>0.30882352941176472</v>
      </c>
      <c r="L30" s="26">
        <f t="shared" si="37"/>
        <v>0.10909090909090909</v>
      </c>
      <c r="M30" s="26">
        <f t="shared" si="38"/>
        <v>8.6956521739130432E-2</v>
      </c>
      <c r="N30" s="26">
        <f t="shared" si="39"/>
        <v>0.29411764705882354</v>
      </c>
      <c r="O30" s="26">
        <f t="shared" si="40"/>
        <v>0.125</v>
      </c>
      <c r="P30" s="26">
        <f t="shared" si="41"/>
        <v>6.6666666666666666E-2</v>
      </c>
      <c r="Q30" s="26">
        <f t="shared" si="42"/>
        <v>6.6666666666666666E-2</v>
      </c>
      <c r="R30" s="26">
        <f t="shared" si="43"/>
        <v>0.18181818181818182</v>
      </c>
    </row>
    <row r="31" spans="1:18" x14ac:dyDescent="0.35">
      <c r="B31" t="s">
        <v>221</v>
      </c>
      <c r="C31">
        <f>COUNTIFS(datasheet!B2:B210,"id",datasheet!AE2:AE210,1)</f>
        <v>0</v>
      </c>
      <c r="D31">
        <f>COUNTIFS(datasheet!B2:B210,"au",datasheet!AE2:AE210,1)</f>
        <v>1</v>
      </c>
      <c r="E31">
        <f>COUNTIFS(datasheet!B2:B210,"jp",datasheet!AE2:AE210,1)</f>
        <v>1</v>
      </c>
      <c r="F31">
        <f>COUNTIFS(datasheet!B2:B210,"mi",datasheet!AE2:AE210,1)</f>
        <v>0</v>
      </c>
      <c r="G31">
        <f>COUNTIFS(datasheet!B2:B210,"fj",datasheet!AE2:AE210,1)</f>
        <v>0</v>
      </c>
      <c r="H31">
        <f>COUNTIFS(datasheet!B2:B210,"hi",datasheet!AE2:AE210,1)</f>
        <v>0</v>
      </c>
      <c r="I31">
        <f>COUNTIFS(datasheet!B2:B210,"fp",datasheet!AE2:AE210,1)</f>
        <v>0</v>
      </c>
      <c r="J31">
        <f t="shared" si="2"/>
        <v>2</v>
      </c>
      <c r="K31" s="26">
        <f t="shared" si="36"/>
        <v>0</v>
      </c>
      <c r="L31" s="26">
        <f t="shared" si="37"/>
        <v>1.8181818181818181E-2</v>
      </c>
      <c r="M31" s="26">
        <f t="shared" si="38"/>
        <v>4.3478260869565216E-2</v>
      </c>
      <c r="N31" s="26">
        <f t="shared" si="39"/>
        <v>0</v>
      </c>
      <c r="O31" s="26">
        <f t="shared" si="40"/>
        <v>0</v>
      </c>
      <c r="P31" s="26">
        <f t="shared" si="41"/>
        <v>0</v>
      </c>
      <c r="Q31" s="26">
        <f t="shared" si="42"/>
        <v>0</v>
      </c>
      <c r="R31" s="26">
        <f t="shared" si="43"/>
        <v>9.5693779904306216E-3</v>
      </c>
    </row>
    <row r="32" spans="1:18" x14ac:dyDescent="0.35">
      <c r="B32" t="s">
        <v>222</v>
      </c>
      <c r="C32">
        <f>COUNTIFS(datasheet!B2:B210,"id",datasheet!AF2:AF210,1)</f>
        <v>51</v>
      </c>
      <c r="D32">
        <f>COUNTIFS(datasheet!B2:B210,"au",datasheet!AF2:AF210,1)</f>
        <v>30</v>
      </c>
      <c r="E32">
        <f>COUNTIFS(datasheet!B2:B210,"jp",datasheet!AF2:AF210,1)</f>
        <v>17</v>
      </c>
      <c r="F32">
        <f>COUNTIFS(datasheet!B2:B210,"mi",datasheet!AF2:AF210,1)</f>
        <v>12</v>
      </c>
      <c r="G32">
        <f>COUNTIFS(datasheet!B2:B210,"fj",datasheet!AF2:AF210,1)</f>
        <v>9</v>
      </c>
      <c r="H32">
        <f>COUNTIFS(datasheet!B2:B210,"hi",datasheet!AF2:AF210,1)</f>
        <v>9</v>
      </c>
      <c r="I32">
        <f>COUNTIFS(datasheet!B2:B210,"fp",datasheet!AF2:AF210,1)</f>
        <v>10</v>
      </c>
      <c r="J32">
        <f t="shared" si="2"/>
        <v>138</v>
      </c>
      <c r="K32" s="26">
        <f t="shared" si="36"/>
        <v>0.75</v>
      </c>
      <c r="L32" s="26">
        <f t="shared" si="37"/>
        <v>0.54545454545454541</v>
      </c>
      <c r="M32" s="26">
        <f t="shared" si="38"/>
        <v>0.73913043478260865</v>
      </c>
      <c r="N32" s="26">
        <f t="shared" si="39"/>
        <v>0.70588235294117652</v>
      </c>
      <c r="O32" s="26">
        <f t="shared" si="40"/>
        <v>0.5625</v>
      </c>
      <c r="P32" s="26">
        <f t="shared" si="41"/>
        <v>0.6</v>
      </c>
      <c r="Q32" s="26">
        <f t="shared" si="42"/>
        <v>0.66666666666666663</v>
      </c>
      <c r="R32" s="26">
        <f t="shared" si="43"/>
        <v>0.66028708133971292</v>
      </c>
    </row>
    <row r="33" spans="1:18" x14ac:dyDescent="0.35">
      <c r="B33" t="s">
        <v>223</v>
      </c>
      <c r="C33">
        <f>COUNTIFS(datasheet!B2:B210,"id",datasheet!AI2:AI210,1)</f>
        <v>38</v>
      </c>
      <c r="D33">
        <f>COUNTIFS(datasheet!B2:B210,"au",datasheet!AI2:AI210,1)</f>
        <v>20</v>
      </c>
      <c r="E33">
        <f>COUNTIFS(datasheet!B2:B210,"jp",datasheet!AI2:AI210,1)</f>
        <v>5</v>
      </c>
      <c r="F33">
        <f>COUNTIFS(datasheet!B2:B210,"mi",datasheet!AI2:AI210,1)</f>
        <v>8</v>
      </c>
      <c r="G33">
        <f>COUNTIFS(datasheet!B2:B210,"fj",datasheet!AI2:AI210,1)</f>
        <v>7</v>
      </c>
      <c r="H33">
        <f>COUNTIFS(datasheet!B2:B210,"hi",datasheet!AI2:AI210,1)</f>
        <v>4</v>
      </c>
      <c r="I33">
        <f>COUNTIFS(datasheet!B2:B210,"fp",datasheet!AI2:AI210,1)</f>
        <v>5</v>
      </c>
      <c r="J33">
        <f t="shared" si="2"/>
        <v>87</v>
      </c>
      <c r="K33" s="26">
        <f t="shared" si="36"/>
        <v>0.55882352941176472</v>
      </c>
      <c r="L33" s="26">
        <f t="shared" si="37"/>
        <v>0.36363636363636365</v>
      </c>
      <c r="M33" s="26">
        <f t="shared" si="38"/>
        <v>0.21739130434782608</v>
      </c>
      <c r="N33" s="26">
        <f t="shared" si="39"/>
        <v>0.47058823529411764</v>
      </c>
      <c r="O33" s="26">
        <f t="shared" si="40"/>
        <v>0.4375</v>
      </c>
      <c r="P33" s="26">
        <f t="shared" si="41"/>
        <v>0.26666666666666666</v>
      </c>
      <c r="Q33" s="26">
        <f t="shared" si="42"/>
        <v>0.33333333333333331</v>
      </c>
      <c r="R33" s="26">
        <f t="shared" si="43"/>
        <v>0.41626794258373206</v>
      </c>
    </row>
    <row r="34" spans="1:18" x14ac:dyDescent="0.35">
      <c r="A34" t="s">
        <v>224</v>
      </c>
      <c r="B34" t="s">
        <v>225</v>
      </c>
      <c r="C34">
        <f>COUNTIFS(datasheet!B2:B210,"id",datasheet!S2:S210,1)</f>
        <v>32</v>
      </c>
      <c r="D34">
        <f>COUNTIFS(datasheet!B2:B210,"au",datasheet!S2:S210,1)</f>
        <v>21</v>
      </c>
      <c r="E34">
        <f>COUNTIFS(datasheet!B2:B210,"jp",datasheet!S2:S210,1)</f>
        <v>10</v>
      </c>
      <c r="F34">
        <f>COUNTIFS(datasheet!B2:B210,"mi",datasheet!S2:S210,1)</f>
        <v>5</v>
      </c>
      <c r="G34">
        <f>COUNTIFS(datasheet!B2:B210,"fj",datasheet!S2:S210,1)</f>
        <v>2</v>
      </c>
      <c r="H34">
        <f>COUNTIFS(datasheet!B2:B210,"hi",datasheet!S2:S210,1)</f>
        <v>7</v>
      </c>
      <c r="I34">
        <f>COUNTIFS(datasheet!B2:B210,"fp",datasheet!S2:S210,1)</f>
        <v>3</v>
      </c>
      <c r="J34">
        <f t="shared" si="2"/>
        <v>80</v>
      </c>
      <c r="K34" s="26">
        <f t="shared" ref="K34:K38" si="44">C34/C$2</f>
        <v>0.47058823529411764</v>
      </c>
      <c r="L34" s="26">
        <f t="shared" ref="L34:L38" si="45">D34/D$2</f>
        <v>0.38181818181818183</v>
      </c>
      <c r="M34" s="26">
        <f t="shared" ref="M34:M38" si="46">E34/E$2</f>
        <v>0.43478260869565216</v>
      </c>
      <c r="N34" s="26">
        <f t="shared" ref="N34:N38" si="47">F34/F$2</f>
        <v>0.29411764705882354</v>
      </c>
      <c r="O34" s="26">
        <f t="shared" ref="O34:O38" si="48">G34/G$2</f>
        <v>0.125</v>
      </c>
      <c r="P34" s="26">
        <f t="shared" ref="P34:P38" si="49">H34/H$2</f>
        <v>0.46666666666666667</v>
      </c>
      <c r="Q34" s="26">
        <f t="shared" ref="Q34:Q38" si="50">I34/I$2</f>
        <v>0.2</v>
      </c>
      <c r="R34" s="26">
        <f t="shared" ref="R34:R38" si="51">J34/J$2</f>
        <v>0.38277511961722488</v>
      </c>
    </row>
    <row r="35" spans="1:18" x14ac:dyDescent="0.35">
      <c r="B35" t="s">
        <v>226</v>
      </c>
      <c r="C35">
        <f>COUNTIFS(datasheet!B2:B210,"id",datasheet!S2:S210,2)</f>
        <v>18</v>
      </c>
      <c r="D35">
        <f>COUNTIFS(datasheet!B2:B210,"au",datasheet!S2:S210,2)</f>
        <v>14</v>
      </c>
      <c r="E35">
        <f>COUNTIFS(datasheet!B2:B210,"jp",datasheet!S2:S210,2)</f>
        <v>2</v>
      </c>
      <c r="F35">
        <f>COUNTIFS(datasheet!B2:B210,"mi",datasheet!S2:S210,2)</f>
        <v>6</v>
      </c>
      <c r="G35">
        <f>COUNTIFS(datasheet!B2:B210,"fj",datasheet!S2:S210,2)</f>
        <v>2</v>
      </c>
      <c r="H35">
        <f>COUNTIFS(datasheet!B2:B210,"hi",datasheet!S2:S210,2)</f>
        <v>3</v>
      </c>
      <c r="I35">
        <f>COUNTIFS(datasheet!B2:B210,"fp",datasheet!S2:S210,2)</f>
        <v>4</v>
      </c>
      <c r="J35">
        <f t="shared" si="2"/>
        <v>49</v>
      </c>
      <c r="K35" s="26">
        <f t="shared" si="44"/>
        <v>0.26470588235294118</v>
      </c>
      <c r="L35" s="26">
        <f t="shared" si="45"/>
        <v>0.25454545454545452</v>
      </c>
      <c r="M35" s="26">
        <f t="shared" si="46"/>
        <v>8.6956521739130432E-2</v>
      </c>
      <c r="N35" s="26">
        <f t="shared" si="47"/>
        <v>0.35294117647058826</v>
      </c>
      <c r="O35" s="26">
        <f t="shared" si="48"/>
        <v>0.125</v>
      </c>
      <c r="P35" s="26">
        <f t="shared" si="49"/>
        <v>0.2</v>
      </c>
      <c r="Q35" s="26">
        <f t="shared" si="50"/>
        <v>0.26666666666666666</v>
      </c>
      <c r="R35" s="26">
        <f t="shared" si="51"/>
        <v>0.23444976076555024</v>
      </c>
    </row>
    <row r="36" spans="1:18" x14ac:dyDescent="0.35">
      <c r="B36" t="s">
        <v>227</v>
      </c>
      <c r="C36">
        <f>COUNTIFS(datasheet!B2:B210,"id",datasheet!S2:S210,3)</f>
        <v>13</v>
      </c>
      <c r="D36">
        <f>COUNTIFS(datasheet!B2:B210,"au",datasheet!S2:S210,3)</f>
        <v>9</v>
      </c>
      <c r="E36">
        <f>COUNTIFS(datasheet!B2:B210,"jp",datasheet!S2:S210,3)</f>
        <v>4</v>
      </c>
      <c r="F36">
        <f>COUNTIFS(datasheet!B2:B210,"mi",datasheet!S2:S210,3)</f>
        <v>4</v>
      </c>
      <c r="G36">
        <f>COUNTIFS(datasheet!B2:B210,"fj",datasheet!S2:S210,3)</f>
        <v>4</v>
      </c>
      <c r="H36">
        <f>COUNTIFS(datasheet!B2:B210,"hi",datasheet!S2:S210,3)</f>
        <v>4</v>
      </c>
      <c r="I36">
        <f>COUNTIFS(datasheet!B2:B210,"fp",datasheet!S2:S210,3)</f>
        <v>4</v>
      </c>
      <c r="J36">
        <f t="shared" si="2"/>
        <v>42</v>
      </c>
      <c r="K36" s="26">
        <f t="shared" si="44"/>
        <v>0.19117647058823528</v>
      </c>
      <c r="L36" s="26">
        <f t="shared" si="45"/>
        <v>0.16363636363636364</v>
      </c>
      <c r="M36" s="26">
        <f t="shared" si="46"/>
        <v>0.17391304347826086</v>
      </c>
      <c r="N36" s="26">
        <f t="shared" si="47"/>
        <v>0.23529411764705882</v>
      </c>
      <c r="O36" s="26">
        <f t="shared" si="48"/>
        <v>0.25</v>
      </c>
      <c r="P36" s="26">
        <f t="shared" si="49"/>
        <v>0.26666666666666666</v>
      </c>
      <c r="Q36" s="26">
        <f t="shared" si="50"/>
        <v>0.26666666666666666</v>
      </c>
      <c r="R36" s="26">
        <f t="shared" si="51"/>
        <v>0.20095693779904306</v>
      </c>
    </row>
    <row r="37" spans="1:18" x14ac:dyDescent="0.35">
      <c r="B37" t="s">
        <v>228</v>
      </c>
      <c r="C37">
        <f>COUNTIFS(datasheet!B2:B210,"id",datasheet!S2:S210,4)</f>
        <v>4</v>
      </c>
      <c r="D37">
        <f>COUNTIFS(datasheet!B2:B210,"au",datasheet!S2:S210,4)</f>
        <v>8</v>
      </c>
      <c r="E37">
        <f>COUNTIFS(datasheet!B2:B210,"jp",datasheet!S2:S210,4)</f>
        <v>5</v>
      </c>
      <c r="F37">
        <f>COUNTIFS(datasheet!B2:B210,"mi",datasheet!S2:S210,4)</f>
        <v>1</v>
      </c>
      <c r="G37">
        <f>COUNTIFS(datasheet!B2:B210,"fj",datasheet!S2:S210,4)</f>
        <v>3</v>
      </c>
      <c r="H37">
        <f>COUNTIFS(datasheet!B2:B210,"hi",datasheet!S2:S210,4)</f>
        <v>0</v>
      </c>
      <c r="I37">
        <f>COUNTIFS(datasheet!B2:B210,"fp",datasheet!S2:S210,4)</f>
        <v>2</v>
      </c>
      <c r="J37">
        <f t="shared" si="2"/>
        <v>23</v>
      </c>
      <c r="K37" s="26">
        <f t="shared" si="44"/>
        <v>5.8823529411764705E-2</v>
      </c>
      <c r="L37" s="26">
        <f t="shared" si="45"/>
        <v>0.14545454545454545</v>
      </c>
      <c r="M37" s="26">
        <f t="shared" si="46"/>
        <v>0.21739130434782608</v>
      </c>
      <c r="N37" s="26">
        <f t="shared" si="47"/>
        <v>5.8823529411764705E-2</v>
      </c>
      <c r="O37" s="26">
        <f t="shared" si="48"/>
        <v>0.1875</v>
      </c>
      <c r="P37" s="26">
        <f t="shared" si="49"/>
        <v>0</v>
      </c>
      <c r="Q37" s="26">
        <f t="shared" si="50"/>
        <v>0.13333333333333333</v>
      </c>
      <c r="R37" s="26">
        <f t="shared" si="51"/>
        <v>0.11004784688995216</v>
      </c>
    </row>
    <row r="38" spans="1:18" x14ac:dyDescent="0.35">
      <c r="B38" t="s">
        <v>229</v>
      </c>
      <c r="C38">
        <f>COUNTIFS(datasheet!B2:B210,"id",datasheet!S2:S210,5)</f>
        <v>1</v>
      </c>
      <c r="D38">
        <f>COUNTIFS(datasheet!B2:B210,"au",datasheet!S2:S210,5)</f>
        <v>3</v>
      </c>
      <c r="E38">
        <f>COUNTIFS(datasheet!B2:B210,"jp",datasheet!S2:S210,5)</f>
        <v>2</v>
      </c>
      <c r="F38">
        <f>COUNTIFS(datasheet!B2:B210,"mi",datasheet!S2:S210,5)</f>
        <v>1</v>
      </c>
      <c r="G38">
        <f>COUNTIFS(datasheet!B2:B210,"fj",datasheet!S2:S210,5)</f>
        <v>5</v>
      </c>
      <c r="H38">
        <f>COUNTIFS(datasheet!B2:B210,"hi",datasheet!S2:S210,5)</f>
        <v>1</v>
      </c>
      <c r="I38">
        <f>COUNTIFS(datasheet!B2:B210,"fp",datasheet!S2:S210,5)</f>
        <v>1</v>
      </c>
      <c r="J38">
        <f t="shared" si="2"/>
        <v>14</v>
      </c>
      <c r="K38" s="26">
        <f t="shared" si="44"/>
        <v>1.4705882352941176E-2</v>
      </c>
      <c r="L38" s="26">
        <f t="shared" si="45"/>
        <v>5.4545454545454543E-2</v>
      </c>
      <c r="M38" s="26">
        <f t="shared" si="46"/>
        <v>8.6956521739130432E-2</v>
      </c>
      <c r="N38" s="26">
        <f t="shared" si="47"/>
        <v>5.8823529411764705E-2</v>
      </c>
      <c r="O38" s="26">
        <f t="shared" si="48"/>
        <v>0.3125</v>
      </c>
      <c r="P38" s="26">
        <f t="shared" si="49"/>
        <v>6.6666666666666666E-2</v>
      </c>
      <c r="Q38" s="26">
        <f t="shared" si="50"/>
        <v>6.6666666666666666E-2</v>
      </c>
      <c r="R38" s="26">
        <f t="shared" si="51"/>
        <v>6.6985645933014357E-2</v>
      </c>
    </row>
    <row r="39" spans="1:18" x14ac:dyDescent="0.35">
      <c r="A39" t="s">
        <v>230</v>
      </c>
      <c r="B39" t="s">
        <v>231</v>
      </c>
      <c r="C39">
        <f>COUNTIFS(datasheet!B2:B210,"id",datasheet!U2:U210,0)</f>
        <v>43</v>
      </c>
      <c r="D39">
        <f>COUNTIFS(datasheet!B2:B210,"au",datasheet!U2:U210,0)</f>
        <v>28</v>
      </c>
      <c r="E39">
        <f>COUNTIFS(datasheet!B2:B210,"jp",datasheet!U2:U210,0)</f>
        <v>10</v>
      </c>
      <c r="F39">
        <f>COUNTIFS(datasheet!B2:B210,"mi",datasheet!U2:U210,0)</f>
        <v>13</v>
      </c>
      <c r="G39">
        <f>COUNTIFS(datasheet!B2:B210,"fj",datasheet!U2:U210,0)</f>
        <v>7</v>
      </c>
      <c r="H39">
        <f>COUNTIFS(datasheet!B2:B210,"hi",datasheet!U2:U210,0)</f>
        <v>11</v>
      </c>
      <c r="I39">
        <f>COUNTIFS(datasheet!B2:B210,"fp",datasheet!U2:U210,0)</f>
        <v>10</v>
      </c>
      <c r="J39">
        <f t="shared" si="2"/>
        <v>122</v>
      </c>
      <c r="K39" s="26">
        <f t="shared" ref="K39:K41" si="52">C39/C$2</f>
        <v>0.63235294117647056</v>
      </c>
      <c r="L39" s="26">
        <f t="shared" ref="L39:L41" si="53">D39/D$2</f>
        <v>0.50909090909090904</v>
      </c>
      <c r="M39" s="26">
        <f t="shared" ref="M39:M41" si="54">E39/E$2</f>
        <v>0.43478260869565216</v>
      </c>
      <c r="N39" s="26">
        <f t="shared" ref="N39:N41" si="55">F39/F$2</f>
        <v>0.76470588235294112</v>
      </c>
      <c r="O39" s="26">
        <f t="shared" ref="O39:O41" si="56">G39/G$2</f>
        <v>0.4375</v>
      </c>
      <c r="P39" s="26">
        <f t="shared" ref="P39:P41" si="57">H39/H$2</f>
        <v>0.73333333333333328</v>
      </c>
      <c r="Q39" s="26">
        <f>I39/I$2</f>
        <v>0.66666666666666663</v>
      </c>
      <c r="R39" s="26">
        <f t="shared" ref="R39:R41" si="58">J39/J$2</f>
        <v>0.58373205741626799</v>
      </c>
    </row>
    <row r="40" spans="1:18" x14ac:dyDescent="0.35">
      <c r="B40" t="s">
        <v>232</v>
      </c>
      <c r="C40">
        <f>COUNTIFS(datasheet!B2:B210,"id",datasheet!U2:U210,"&lt;0")</f>
        <v>12</v>
      </c>
      <c r="D40">
        <f>COUNTIFS(datasheet!B2:B210,"au",datasheet!U2:U210,"&lt;0")</f>
        <v>16</v>
      </c>
      <c r="E40">
        <f>COUNTIFS(datasheet!B2:B210,"jp",datasheet!U2:U210,"&lt;0")</f>
        <v>5</v>
      </c>
      <c r="F40">
        <f>COUNTIFS(datasheet!B2:B210,"mi",datasheet!U2:U210,"&lt;0")</f>
        <v>2</v>
      </c>
      <c r="G40">
        <f>COUNTIFS(datasheet!B2:B210,"fj",datasheet!U2:U210,"&lt;0")</f>
        <v>5</v>
      </c>
      <c r="H40">
        <f>COUNTIFS(datasheet!B2:B210,"hi",datasheet!U2:U210,"&lt;0")</f>
        <v>1</v>
      </c>
      <c r="I40">
        <f>COUNTIFS(datasheet!B2:B210,"fp",datasheet!U2:U210,"&lt;0")</f>
        <v>2</v>
      </c>
      <c r="J40">
        <f t="shared" si="2"/>
        <v>43</v>
      </c>
      <c r="K40" s="26">
        <f t="shared" si="52"/>
        <v>0.17647058823529413</v>
      </c>
      <c r="L40" s="26">
        <f t="shared" si="53"/>
        <v>0.29090909090909089</v>
      </c>
      <c r="M40" s="26">
        <f t="shared" si="54"/>
        <v>0.21739130434782608</v>
      </c>
      <c r="N40" s="26">
        <f t="shared" si="55"/>
        <v>0.11764705882352941</v>
      </c>
      <c r="O40" s="26">
        <f t="shared" si="56"/>
        <v>0.3125</v>
      </c>
      <c r="P40" s="26">
        <f t="shared" si="57"/>
        <v>6.6666666666666666E-2</v>
      </c>
      <c r="Q40" s="26">
        <f t="shared" ref="Q40:Q41" si="59">I40/I$2</f>
        <v>0.13333333333333333</v>
      </c>
      <c r="R40" s="26">
        <f t="shared" si="58"/>
        <v>0.20574162679425836</v>
      </c>
    </row>
    <row r="41" spans="1:18" x14ac:dyDescent="0.35">
      <c r="B41" t="s">
        <v>233</v>
      </c>
      <c r="C41">
        <f>COUNTIFS(datasheet!B2:B210,"id",datasheet!U2:U210,"&gt;0")</f>
        <v>13</v>
      </c>
      <c r="D41">
        <f>COUNTIFS(datasheet!B2:B210,"au",datasheet!U2:U210,"&gt;0")</f>
        <v>11</v>
      </c>
      <c r="E41">
        <f>COUNTIFS(datasheet!B2:B210,"jp",datasheet!U2:U210,"&gt;0")</f>
        <v>8</v>
      </c>
      <c r="F41">
        <f>COUNTIFS(datasheet!B2:B210,"mi",datasheet!U2:U210,"&gt;0")</f>
        <v>2</v>
      </c>
      <c r="G41">
        <f>COUNTIFS(datasheet!B2:B210,"fj",datasheet!U2:U210,"&gt;0")</f>
        <v>4</v>
      </c>
      <c r="H41">
        <f>COUNTIFS(datasheet!B2:B210,"hi",datasheet!U2:U210,"&gt;0")</f>
        <v>3</v>
      </c>
      <c r="I41">
        <f>COUNTIFS(datasheet!B2:B210,"fp",datasheet!U2:U210,"&gt;0")</f>
        <v>2</v>
      </c>
      <c r="J41">
        <f t="shared" si="2"/>
        <v>43</v>
      </c>
      <c r="K41" s="26">
        <f t="shared" si="52"/>
        <v>0.19117647058823528</v>
      </c>
      <c r="L41" s="26">
        <f t="shared" si="53"/>
        <v>0.2</v>
      </c>
      <c r="M41" s="26">
        <f t="shared" si="54"/>
        <v>0.34782608695652173</v>
      </c>
      <c r="N41" s="26">
        <f t="shared" si="55"/>
        <v>0.11764705882352941</v>
      </c>
      <c r="O41" s="26">
        <f t="shared" si="56"/>
        <v>0.25</v>
      </c>
      <c r="P41" s="26">
        <f t="shared" si="57"/>
        <v>0.2</v>
      </c>
      <c r="Q41" s="26">
        <f t="shared" si="59"/>
        <v>0.13333333333333333</v>
      </c>
      <c r="R41" s="26">
        <f t="shared" si="58"/>
        <v>0.20574162679425836</v>
      </c>
    </row>
    <row r="42" spans="1:18" x14ac:dyDescent="0.35">
      <c r="A42" t="s">
        <v>234</v>
      </c>
      <c r="B42" t="s">
        <v>237</v>
      </c>
      <c r="C42">
        <f>COUNTIFS(datasheet!B2:B210,"id",datasheet!V2:V210,-1)</f>
        <v>2</v>
      </c>
      <c r="D42">
        <f>COUNTIFS(datasheet!B2:B210,"au",datasheet!V2:V210,-1)</f>
        <v>0</v>
      </c>
      <c r="E42">
        <f>COUNTIFS(datasheet!B2:B210,"jp",datasheet!V2:V210,-1)</f>
        <v>0</v>
      </c>
      <c r="F42">
        <f>COUNTIFS(datasheet!B2:B210,"mi",datasheet!V2:V210,-1)</f>
        <v>0</v>
      </c>
      <c r="G42">
        <f>COUNTIFS(datasheet!B2:B210,"fj",datasheet!V2:V210,-1)</f>
        <v>0</v>
      </c>
      <c r="H42">
        <f>COUNTIFS(datasheet!B2:B210,"hi",datasheet!V2:V210,-1)</f>
        <v>0</v>
      </c>
      <c r="I42">
        <f>COUNTIFS(datasheet!B2:B210,"fp",datasheet!V2:V210,-1)</f>
        <v>0</v>
      </c>
      <c r="J42">
        <f t="shared" si="2"/>
        <v>2</v>
      </c>
      <c r="K42" s="26">
        <f t="shared" ref="K42:K45" si="60">C42/C$2</f>
        <v>2.9411764705882353E-2</v>
      </c>
      <c r="L42" s="26">
        <f t="shared" ref="L42:L45" si="61">D42/D$2</f>
        <v>0</v>
      </c>
      <c r="M42" s="26">
        <f t="shared" ref="M42:M45" si="62">E42/E$2</f>
        <v>0</v>
      </c>
      <c r="N42" s="26">
        <f t="shared" ref="N42:N45" si="63">F42/F$2</f>
        <v>0</v>
      </c>
      <c r="O42" s="26">
        <f t="shared" ref="O42:O45" si="64">G42/G$2</f>
        <v>0</v>
      </c>
      <c r="P42" s="26">
        <f t="shared" ref="P42:P45" si="65">H42/H$2</f>
        <v>0</v>
      </c>
      <c r="Q42" s="26">
        <f t="shared" ref="Q42:Q45" si="66">I42/I$2</f>
        <v>0</v>
      </c>
      <c r="R42" s="26">
        <f t="shared" ref="R42:R45" si="67">J42/J$2</f>
        <v>9.5693779904306216E-3</v>
      </c>
    </row>
    <row r="43" spans="1:18" x14ac:dyDescent="0.35">
      <c r="B43" t="s">
        <v>113</v>
      </c>
      <c r="C43">
        <f>COUNTIFS(datasheet!B2:B210,"id",datasheet!V2:V210,0)</f>
        <v>16</v>
      </c>
      <c r="D43">
        <f>COUNTIFS(datasheet!B2:B210,"au",datasheet!V2:V210,0)</f>
        <v>18</v>
      </c>
      <c r="E43">
        <f>COUNTIFS(datasheet!B2:B210,"jp",datasheet!V2:V210,0)</f>
        <v>8</v>
      </c>
      <c r="F43">
        <f>COUNTIFS(datasheet!B2:B210,"mi",datasheet!V2:V210,0)</f>
        <v>5</v>
      </c>
      <c r="G43">
        <f>COUNTIFS(datasheet!B2:B210,"fj",datasheet!V2:V210,0)</f>
        <v>0</v>
      </c>
      <c r="H43">
        <f>COUNTIFS(datasheet!B2:B210,"hi",datasheet!V2:V210,0)</f>
        <v>3</v>
      </c>
      <c r="I43">
        <f>COUNTIFS(datasheet!B2:B210,"fp",datasheet!V2:V210,0)</f>
        <v>6</v>
      </c>
      <c r="J43">
        <f t="shared" si="2"/>
        <v>56</v>
      </c>
      <c r="K43" s="26">
        <f t="shared" si="60"/>
        <v>0.23529411764705882</v>
      </c>
      <c r="L43" s="26">
        <f t="shared" si="61"/>
        <v>0.32727272727272727</v>
      </c>
      <c r="M43" s="26">
        <f t="shared" si="62"/>
        <v>0.34782608695652173</v>
      </c>
      <c r="N43" s="26">
        <f t="shared" si="63"/>
        <v>0.29411764705882354</v>
      </c>
      <c r="O43" s="26">
        <f t="shared" si="64"/>
        <v>0</v>
      </c>
      <c r="P43" s="26">
        <f t="shared" si="65"/>
        <v>0.2</v>
      </c>
      <c r="Q43" s="26">
        <f t="shared" si="66"/>
        <v>0.4</v>
      </c>
      <c r="R43" s="26">
        <f t="shared" si="67"/>
        <v>0.26794258373205743</v>
      </c>
    </row>
    <row r="44" spans="1:18" x14ac:dyDescent="0.35">
      <c r="B44" t="s">
        <v>236</v>
      </c>
      <c r="C44">
        <f>COUNTIFS(datasheet!B2:B210,"id",datasheet!V2:V210,1)</f>
        <v>32</v>
      </c>
      <c r="D44">
        <f>COUNTIFS(datasheet!B2:B210,"au",datasheet!V2:V210,1)</f>
        <v>24</v>
      </c>
      <c r="E44">
        <f>COUNTIFS(datasheet!B2:B210,"jp",datasheet!V2:V210,1)</f>
        <v>13</v>
      </c>
      <c r="F44">
        <f>COUNTIFS(datasheet!B2:B210,"mi",datasheet!V2:V210,1)</f>
        <v>10</v>
      </c>
      <c r="G44">
        <f>COUNTIFS(datasheet!B2:B210,"fj",datasheet!V2:V210,1)</f>
        <v>11</v>
      </c>
      <c r="H44">
        <f>COUNTIFS(datasheet!B2:B210,"hi",datasheet!V2:V210,1)</f>
        <v>10</v>
      </c>
      <c r="I44">
        <f>COUNTIFS(datasheet!B2:B210,"fp",datasheet!V2:V210,1)</f>
        <v>6</v>
      </c>
      <c r="J44">
        <f t="shared" si="2"/>
        <v>106</v>
      </c>
      <c r="K44" s="26">
        <f t="shared" si="60"/>
        <v>0.47058823529411764</v>
      </c>
      <c r="L44" s="26">
        <f t="shared" si="61"/>
        <v>0.43636363636363634</v>
      </c>
      <c r="M44" s="26">
        <f t="shared" si="62"/>
        <v>0.56521739130434778</v>
      </c>
      <c r="N44" s="26">
        <f t="shared" si="63"/>
        <v>0.58823529411764708</v>
      </c>
      <c r="O44" s="26">
        <f t="shared" si="64"/>
        <v>0.6875</v>
      </c>
      <c r="P44" s="26">
        <f t="shared" si="65"/>
        <v>0.66666666666666663</v>
      </c>
      <c r="Q44" s="26">
        <f t="shared" si="66"/>
        <v>0.4</v>
      </c>
      <c r="R44" s="26">
        <f t="shared" si="67"/>
        <v>0.50717703349282295</v>
      </c>
    </row>
    <row r="45" spans="1:18" x14ac:dyDescent="0.35">
      <c r="B45" t="s">
        <v>235</v>
      </c>
      <c r="C45">
        <f>COUNTIFS(datasheet!B2:B210,"id",datasheet!V2:V210,2)</f>
        <v>17</v>
      </c>
      <c r="D45">
        <f>COUNTIFS(datasheet!B2:B210,"au",datasheet!V2:V210,2)</f>
        <v>13</v>
      </c>
      <c r="E45">
        <f>COUNTIFS(datasheet!B2:B210,"jp",datasheet!V2:V210,2)</f>
        <v>2</v>
      </c>
      <c r="F45">
        <f>COUNTIFS(datasheet!B2:B210,"mi",datasheet!V2:V210,2)</f>
        <v>2</v>
      </c>
      <c r="G45">
        <f>COUNTIFS(datasheet!B2:B210,"fj",datasheet!V2:V210,2)</f>
        <v>5</v>
      </c>
      <c r="H45">
        <f>COUNTIFS(datasheet!B2:B210,"hi",datasheet!V2:V210,2)</f>
        <v>1</v>
      </c>
      <c r="I45">
        <f>COUNTIFS(datasheet!B2:B210,"fp",datasheet!V2:V210,2)</f>
        <v>3</v>
      </c>
      <c r="J45">
        <f t="shared" si="2"/>
        <v>43</v>
      </c>
      <c r="K45" s="26">
        <f t="shared" si="60"/>
        <v>0.25</v>
      </c>
      <c r="L45" s="26">
        <f t="shared" si="61"/>
        <v>0.23636363636363636</v>
      </c>
      <c r="M45" s="26">
        <f t="shared" si="62"/>
        <v>8.6956521739130432E-2</v>
      </c>
      <c r="N45" s="26">
        <f t="shared" si="63"/>
        <v>0.11764705882352941</v>
      </c>
      <c r="O45" s="26">
        <f t="shared" si="64"/>
        <v>0.3125</v>
      </c>
      <c r="P45" s="26">
        <f t="shared" si="65"/>
        <v>6.6666666666666666E-2</v>
      </c>
      <c r="Q45" s="26">
        <f t="shared" si="66"/>
        <v>0.2</v>
      </c>
      <c r="R45" s="26">
        <f t="shared" si="67"/>
        <v>0.20574162679425836</v>
      </c>
    </row>
    <row r="46" spans="1:18" x14ac:dyDescent="0.35">
      <c r="A46" t="s">
        <v>238</v>
      </c>
      <c r="B46" t="s">
        <v>231</v>
      </c>
      <c r="C46">
        <f>COUNTIFS(datasheet!B2:B210,"id",datasheet!X2:X210,0)</f>
        <v>54</v>
      </c>
      <c r="D46">
        <f>COUNTIFS(datasheet!B2:B210,"au",datasheet!X2:X210,0)</f>
        <v>40</v>
      </c>
      <c r="E46">
        <f>COUNTIFS(datasheet!B2:B210,"jp",datasheet!X2:X210,0)</f>
        <v>21</v>
      </c>
      <c r="F46">
        <f>COUNTIFS(datasheet!B2:B210,"mi",datasheet!X2:X210,0)</f>
        <v>11</v>
      </c>
      <c r="G46">
        <f>COUNTIFS(datasheet!B2:B210,"fj",datasheet!X2:X210,0)</f>
        <v>14</v>
      </c>
      <c r="H46">
        <f>COUNTIFS(datasheet!B2:B210,"hi",datasheet!X2:X210,0)</f>
        <v>13</v>
      </c>
      <c r="I46">
        <f>COUNTIFS(datasheet!B2:B210,"fp",datasheet!X2:X210,0)</f>
        <v>13</v>
      </c>
      <c r="J46">
        <f t="shared" si="2"/>
        <v>166</v>
      </c>
      <c r="K46" s="26">
        <f>C46/C$2</f>
        <v>0.79411764705882348</v>
      </c>
      <c r="L46" s="26">
        <f t="shared" ref="L46:L48" si="68">D46/D$2</f>
        <v>0.72727272727272729</v>
      </c>
      <c r="M46" s="26">
        <f t="shared" ref="M46:M48" si="69">E46/E$2</f>
        <v>0.91304347826086951</v>
      </c>
      <c r="N46" s="26">
        <f t="shared" ref="N46:N48" si="70">F46/F$2</f>
        <v>0.6470588235294118</v>
      </c>
      <c r="O46" s="26">
        <f t="shared" ref="O46:O48" si="71">G46/G$2</f>
        <v>0.875</v>
      </c>
      <c r="P46" s="26">
        <f>H46/H$2</f>
        <v>0.8666666666666667</v>
      </c>
      <c r="Q46" s="26">
        <f t="shared" ref="Q46:Q48" si="72">I46/I$2</f>
        <v>0.8666666666666667</v>
      </c>
      <c r="R46" s="26">
        <f t="shared" ref="R46:R48" si="73">J46/J$2</f>
        <v>0.79425837320574166</v>
      </c>
    </row>
    <row r="47" spans="1:18" x14ac:dyDescent="0.35">
      <c r="B47" t="s">
        <v>232</v>
      </c>
      <c r="C47">
        <f>COUNTIFS(datasheet!B2:B210,"id",datasheet!X2:X210,"&lt;0")</f>
        <v>6</v>
      </c>
      <c r="D47">
        <f>COUNTIFS(datasheet!B2:B210,"au",datasheet!X2:X210,"&lt;0")</f>
        <v>6</v>
      </c>
      <c r="E47">
        <f>COUNTIFS(datasheet!B2:B210,"jp",datasheet!X2:X210,"&lt;0")</f>
        <v>0</v>
      </c>
      <c r="F47">
        <f>COUNTIFS(datasheet!B2:B210,"mi",datasheet!X2:X210,"&lt;0")</f>
        <v>1</v>
      </c>
      <c r="G47">
        <f>COUNTIFS(datasheet!B2:B210,"fj",datasheet!X2:X210,"&lt;0")</f>
        <v>0</v>
      </c>
      <c r="H47">
        <f>COUNTIFS(datasheet!B2:B210,"hi",datasheet!X2:X210,"&lt;0")</f>
        <v>1</v>
      </c>
      <c r="I47">
        <f>COUNTIFS(datasheet!B2:B210,"fp",datasheet!X2:X210,"&lt;0")</f>
        <v>0</v>
      </c>
      <c r="J47">
        <f t="shared" si="2"/>
        <v>14</v>
      </c>
      <c r="K47" s="26">
        <f>C47/C$2</f>
        <v>8.8235294117647065E-2</v>
      </c>
      <c r="L47" s="26">
        <f t="shared" si="68"/>
        <v>0.10909090909090909</v>
      </c>
      <c r="M47" s="26">
        <f t="shared" si="69"/>
        <v>0</v>
      </c>
      <c r="N47" s="26">
        <f t="shared" si="70"/>
        <v>5.8823529411764705E-2</v>
      </c>
      <c r="O47" s="26">
        <f t="shared" si="71"/>
        <v>0</v>
      </c>
      <c r="P47" s="26">
        <f>H47/H$2</f>
        <v>6.6666666666666666E-2</v>
      </c>
      <c r="Q47" s="26">
        <f t="shared" si="72"/>
        <v>0</v>
      </c>
      <c r="R47" s="26">
        <f t="shared" si="73"/>
        <v>6.6985645933014357E-2</v>
      </c>
    </row>
    <row r="48" spans="1:18" x14ac:dyDescent="0.35">
      <c r="B48" t="s">
        <v>233</v>
      </c>
      <c r="C48">
        <f>COUNTIFS(datasheet!B2:B210,"id",datasheet!X2:X210,"&gt;0")</f>
        <v>7</v>
      </c>
      <c r="D48">
        <f>COUNTIFS(datasheet!B2:B210,"au",datasheet!X2:X210,"&gt;0")</f>
        <v>9</v>
      </c>
      <c r="E48">
        <f>COUNTIFS(datasheet!B2:B210,"jp",datasheet!X2:X210,"&gt;0")</f>
        <v>2</v>
      </c>
      <c r="F48">
        <f>COUNTIFS(datasheet!B2:B210,"mi",datasheet!X2:X210,"&gt;0")</f>
        <v>5</v>
      </c>
      <c r="G48">
        <f>COUNTIFS(datasheet!B2:B210,"fj",datasheet!X2:X210,"&gt;0")</f>
        <v>2</v>
      </c>
      <c r="H48">
        <f>COUNTIFS(datasheet!B2:B210,"hi",datasheet!X2:X210,"&gt;0")</f>
        <v>0</v>
      </c>
      <c r="I48">
        <f>COUNTIFS(datasheet!B2:B210,"fp",datasheet!X2:X210,"&gt;0")</f>
        <v>2</v>
      </c>
      <c r="J48">
        <f t="shared" si="2"/>
        <v>27</v>
      </c>
      <c r="K48" s="26">
        <f>C48/C$2</f>
        <v>0.10294117647058823</v>
      </c>
      <c r="L48" s="26">
        <f t="shared" si="68"/>
        <v>0.16363636363636364</v>
      </c>
      <c r="M48" s="26">
        <f t="shared" si="69"/>
        <v>8.6956521739130432E-2</v>
      </c>
      <c r="N48" s="26">
        <f t="shared" si="70"/>
        <v>0.29411764705882354</v>
      </c>
      <c r="O48" s="26">
        <f t="shared" si="71"/>
        <v>0.125</v>
      </c>
      <c r="P48" s="26">
        <f>H48/H$2</f>
        <v>0</v>
      </c>
      <c r="Q48" s="26">
        <f t="shared" si="72"/>
        <v>0.13333333333333333</v>
      </c>
      <c r="R48" s="26">
        <f t="shared" si="73"/>
        <v>0.12918660287081341</v>
      </c>
    </row>
    <row r="49" spans="1:18" x14ac:dyDescent="0.35">
      <c r="A49" t="s">
        <v>244</v>
      </c>
      <c r="B49" t="s">
        <v>239</v>
      </c>
      <c r="C49">
        <f>MEDIAN(IF(datasheet!B2:B210="id",datasheet!M2:M210))</f>
        <v>7</v>
      </c>
      <c r="D49">
        <f t="array" ref="D49">MEDIAN(IF(datasheet!B2:B210="au",datasheet!M2:M210))</f>
        <v>8</v>
      </c>
      <c r="E49">
        <f t="array" ref="E49">MEDIAN(IF(datasheet!B2:B210="jp",datasheet!M2:M210))</f>
        <v>7</v>
      </c>
      <c r="F49">
        <f t="array" ref="F49">MEDIAN(IF(datasheet!B2:B210="mi",datasheet!M2:M210))</f>
        <v>7</v>
      </c>
      <c r="G49">
        <f t="array" ref="G49">MEDIAN(IF(datasheet!B2:B210="fj",datasheet!M2:M210))</f>
        <v>8</v>
      </c>
      <c r="H49">
        <f t="array" ref="H49">MEDIAN(IF(datasheet!B2:B210="hi",datasheet!M2:M210))</f>
        <v>6</v>
      </c>
      <c r="I49">
        <f t="array" ref="I49">MEDIAN(IF(datasheet!B2:B210="fp",datasheet!M2:M210))</f>
        <v>8</v>
      </c>
      <c r="J49">
        <f>MEDIAN(datasheet!M2:M210)</f>
        <v>7</v>
      </c>
      <c r="R49" s="26"/>
    </row>
    <row r="50" spans="1:18" x14ac:dyDescent="0.35">
      <c r="B50" t="s">
        <v>240</v>
      </c>
      <c r="C50">
        <f t="array" ref="C50">MEDIAN(IF(datasheet!B2:B210="id",ABS(datasheet!M2:M210 - C49)))</f>
        <v>2</v>
      </c>
      <c r="D50">
        <f t="array" ref="D50">MEDIAN(IF(datasheet!B2:B210="au",ABS(datasheet!M2:M210 - D49)))</f>
        <v>1</v>
      </c>
      <c r="E50">
        <f t="array" ref="E50">MEDIAN(IF(datasheet!B2:B210="jp",ABS(datasheet!M2:M210 - E49)))</f>
        <v>1</v>
      </c>
      <c r="F50">
        <f t="array" ref="F50">MEDIAN(IF(datasheet!B2:B210="mi",ABS(datasheet!M2:M210 - F49)))</f>
        <v>1</v>
      </c>
      <c r="G50">
        <f t="array" ref="G50">MEDIAN(IF(datasheet!B2:B210="fj",ABS(datasheet!M2:M210 - G49)))</f>
        <v>1</v>
      </c>
      <c r="H50">
        <f t="array" ref="H50">MEDIAN(IF(datasheet!B2:B210="hi",ABS(datasheet!M2:M210 - H49)))</f>
        <v>1</v>
      </c>
      <c r="I50">
        <f t="array" ref="I50">MEDIAN(IF(datasheet!B2:B210="fp",ABS(datasheet!M2:M210 - I49)))</f>
        <v>1</v>
      </c>
      <c r="J50">
        <f t="array" ref="J50">MEDIAN(ABS(datasheet!M2:M210 - J49))</f>
        <v>2</v>
      </c>
      <c r="R50" s="26"/>
    </row>
    <row r="51" spans="1:18" x14ac:dyDescent="0.35">
      <c r="A51" t="s">
        <v>241</v>
      </c>
      <c r="B51" t="s">
        <v>231</v>
      </c>
      <c r="C51">
        <f>COUNTIFS(datasheet!B2:B210,"id",datasheet!O2:O210,0)</f>
        <v>40</v>
      </c>
      <c r="D51">
        <f>COUNTIFS(datasheet!B2:B210,"au",datasheet!O2:O210,0)</f>
        <v>28</v>
      </c>
      <c r="E51">
        <f>COUNTIFS(datasheet!B2:B210,"jp",datasheet!O2:O210,0)</f>
        <v>17</v>
      </c>
      <c r="F51">
        <f>COUNTIFS(datasheet!B2:B210,"mi",datasheet!O2:O210,0)</f>
        <v>9</v>
      </c>
      <c r="G51">
        <f>COUNTIFS(datasheet!B2:B210,"fj",datasheet!O2:O210,0)</f>
        <v>4</v>
      </c>
      <c r="H51">
        <f>COUNTIFS(datasheet!B2:B210,"hi",datasheet!O2:O210,0)</f>
        <v>9</v>
      </c>
      <c r="I51">
        <f>COUNTIFS(datasheet!B2:B210,"fp",datasheet!O2:O210,0)</f>
        <v>7</v>
      </c>
      <c r="J51">
        <f>COUNTIFS(datasheet!O2:O210,0)</f>
        <v>114</v>
      </c>
      <c r="K51" s="26">
        <f>C51/C$2</f>
        <v>0.58823529411764708</v>
      </c>
      <c r="L51" s="26">
        <f t="shared" ref="L51:L53" si="74">D51/D$2</f>
        <v>0.50909090909090904</v>
      </c>
      <c r="M51" s="26">
        <f t="shared" ref="M51:M53" si="75">E51/E$2</f>
        <v>0.73913043478260865</v>
      </c>
      <c r="N51" s="26">
        <f t="shared" ref="N51:N53" si="76">F51/F$2</f>
        <v>0.52941176470588236</v>
      </c>
      <c r="O51" s="26">
        <f t="shared" ref="O51:O53" si="77">G51/G$2</f>
        <v>0.25</v>
      </c>
      <c r="P51" s="26">
        <f t="shared" ref="P51:P53" si="78">H51/H$2</f>
        <v>0.6</v>
      </c>
      <c r="Q51" s="26">
        <f t="shared" ref="Q51:Q53" si="79">I51/I$2</f>
        <v>0.46666666666666667</v>
      </c>
      <c r="R51" s="26">
        <f t="shared" ref="R51:R53" si="80">J51/J$2</f>
        <v>0.54545454545454541</v>
      </c>
    </row>
    <row r="52" spans="1:18" x14ac:dyDescent="0.35">
      <c r="B52" t="s">
        <v>232</v>
      </c>
      <c r="C52">
        <f>COUNTIFS(datasheet!B2:B210,"id",datasheet!O2:O210,"&lt;0")</f>
        <v>24</v>
      </c>
      <c r="D52">
        <f>COUNTIFS(datasheet!B2:B210,"au",datasheet!O2:O210,"&lt;0")</f>
        <v>26</v>
      </c>
      <c r="E52">
        <f>COUNTIFS(datasheet!B2:B210,"jp",datasheet!O2:O210,"&lt;0")</f>
        <v>5</v>
      </c>
      <c r="F52">
        <f>COUNTIFS(datasheet!B2:B210,"mi",datasheet!O2:O210,"&lt;0")</f>
        <v>8</v>
      </c>
      <c r="G52">
        <f>COUNTIFS(datasheet!B2:B210,"fj",datasheet!O2:O210,"&lt;0")</f>
        <v>11</v>
      </c>
      <c r="H52">
        <f>COUNTIFS(datasheet!B2:B210,"hi",datasheet!O2:O210,"&lt;0")</f>
        <v>5</v>
      </c>
      <c r="I52">
        <f>COUNTIFS(datasheet!B2:B210,"fp",datasheet!O2:O210,"&lt;0")</f>
        <v>8</v>
      </c>
      <c r="J52">
        <f>COUNTIFS(datasheet!O2:O210,"&lt;0")</f>
        <v>87</v>
      </c>
      <c r="K52" s="26">
        <f>C52/C$2</f>
        <v>0.35294117647058826</v>
      </c>
      <c r="L52" s="26">
        <f t="shared" si="74"/>
        <v>0.47272727272727272</v>
      </c>
      <c r="M52" s="26">
        <f t="shared" si="75"/>
        <v>0.21739130434782608</v>
      </c>
      <c r="N52" s="26">
        <f t="shared" si="76"/>
        <v>0.47058823529411764</v>
      </c>
      <c r="O52" s="26">
        <f t="shared" si="77"/>
        <v>0.6875</v>
      </c>
      <c r="P52" s="26">
        <f t="shared" si="78"/>
        <v>0.33333333333333331</v>
      </c>
      <c r="Q52" s="26">
        <f t="shared" si="79"/>
        <v>0.53333333333333333</v>
      </c>
      <c r="R52" s="26">
        <f t="shared" si="80"/>
        <v>0.41626794258373206</v>
      </c>
    </row>
    <row r="53" spans="1:18" x14ac:dyDescent="0.35">
      <c r="B53" t="s">
        <v>233</v>
      </c>
      <c r="C53">
        <f>COUNTIFS(datasheet!B2:B210,"id",datasheet!O2:O210,"&gt;0")</f>
        <v>3</v>
      </c>
      <c r="D53">
        <f>COUNTIFS(datasheet!B2:B210,"au",datasheet!O2:O210,"&gt;0")</f>
        <v>1</v>
      </c>
      <c r="E53">
        <f>COUNTIFS(datasheet!B2:B210,"jp",datasheet!O2:O210,"&gt;0")</f>
        <v>1</v>
      </c>
      <c r="F53">
        <f>COUNTIFS(datasheet!B2:B210,"mi",datasheet!O2:O210,"&gt;0")</f>
        <v>0</v>
      </c>
      <c r="G53">
        <f>COUNTIFS(datasheet!B2:B210,"fj",datasheet!O2:O210,"&gt;0")</f>
        <v>1</v>
      </c>
      <c r="H53">
        <f>COUNTIFS(datasheet!B2:B210,"hi",datasheet!O2:O210,"&gt;0")</f>
        <v>1</v>
      </c>
      <c r="I53">
        <f>COUNTIFS(datasheet!B2:B210,"fp",datasheet!O2:O210,"&gt;0")</f>
        <v>0</v>
      </c>
      <c r="J53">
        <f>COUNTIFS(datasheet!O2:O210,"&gt;0")</f>
        <v>7</v>
      </c>
      <c r="K53" s="26">
        <f>C53/C$2</f>
        <v>4.4117647058823532E-2</v>
      </c>
      <c r="L53" s="26">
        <f t="shared" si="74"/>
        <v>1.8181818181818181E-2</v>
      </c>
      <c r="M53" s="26">
        <f t="shared" si="75"/>
        <v>4.3478260869565216E-2</v>
      </c>
      <c r="N53" s="26">
        <f t="shared" si="76"/>
        <v>0</v>
      </c>
      <c r="O53" s="26">
        <f t="shared" si="77"/>
        <v>6.25E-2</v>
      </c>
      <c r="P53" s="26">
        <f t="shared" si="78"/>
        <v>6.6666666666666666E-2</v>
      </c>
      <c r="Q53" s="26">
        <f t="shared" si="79"/>
        <v>0</v>
      </c>
      <c r="R53" s="26">
        <f t="shared" si="80"/>
        <v>3.3492822966507178E-2</v>
      </c>
    </row>
    <row r="54" spans="1:18" x14ac:dyDescent="0.35">
      <c r="A54" t="s">
        <v>243</v>
      </c>
      <c r="B54" t="s">
        <v>239</v>
      </c>
      <c r="C54">
        <f t="array" ref="C54">MEDIAN(IF(datasheet!B2:B210="id",datasheet!J2:J210))</f>
        <v>3</v>
      </c>
      <c r="D54">
        <f t="array" ref="D54">MEDIAN(IF(datasheet!B2:B210="au",datasheet!J2:J210))</f>
        <v>4</v>
      </c>
      <c r="E54">
        <f t="array" ref="E54">MEDIAN(IF(datasheet!B2:B210="jp",datasheet!J2:J210))</f>
        <v>3</v>
      </c>
      <c r="F54">
        <f t="array" ref="F54">MEDIAN(IF(datasheet!B2:B210="mi",datasheet!J2:J210))</f>
        <v>3</v>
      </c>
      <c r="G54">
        <f t="array" ref="G54">MEDIAN(IF(datasheet!B2:B210="fj",datasheet!J2:J210))</f>
        <v>4</v>
      </c>
      <c r="H54">
        <f t="array" ref="H54">MEDIAN(IF(datasheet!B2:B210="hi",datasheet!J2:J210))</f>
        <v>4</v>
      </c>
      <c r="I54">
        <f t="array" ref="I54">MEDIAN(IF(datasheet!B2:B210="fp",datasheet!J2:J210))</f>
        <v>3</v>
      </c>
      <c r="J54" s="2">
        <f>MEDIAN(datasheet!J2:J210)</f>
        <v>4</v>
      </c>
    </row>
    <row r="55" spans="1:18" x14ac:dyDescent="0.35">
      <c r="B55" t="s">
        <v>240</v>
      </c>
      <c r="C55">
        <f t="array" ref="C55">MEDIAN(IF(datasheet!B2:B210="id",ABS(datasheet!J2:J210 - C54)))</f>
        <v>1</v>
      </c>
      <c r="D55">
        <f t="array" ref="D55">MEDIAN(IF(datasheet!B2:B210="au",ABS(datasheet!J2:J210 - D54)))</f>
        <v>1</v>
      </c>
      <c r="E55">
        <f t="array" ref="E55">MEDIAN(IF(datasheet!B2:B210="jp",ABS(datasheet!J2:J210 - E54)))</f>
        <v>1</v>
      </c>
      <c r="F55">
        <f>MEDIAN(IF(datasheet!B2:B210="mi",ABS(datasheet!J2:J210 - F54)))</f>
        <v>1</v>
      </c>
      <c r="G55">
        <f t="array" ref="G55">MEDIAN(IF(datasheet!B2:B210="fj",ABS(datasheet!J2:J210 - G54)))</f>
        <v>2</v>
      </c>
      <c r="H55">
        <f t="array" ref="H55">MEDIAN(IF(datasheet!B2:B210="hi",ABS(datasheet!J2:J210 - H54)))</f>
        <v>1</v>
      </c>
      <c r="I55">
        <f t="array" ref="I55">MEDIAN(IF(datasheet!B2:B210="fp",ABS(datasheet!J2:J210 - I54)))</f>
        <v>1</v>
      </c>
      <c r="J55">
        <f t="array" ref="J55">MEDIAN(ABS(datasheet!J2:J210 - J54))</f>
        <v>1</v>
      </c>
    </row>
    <row r="56" spans="1:18" x14ac:dyDescent="0.35">
      <c r="A56" t="s">
        <v>242</v>
      </c>
      <c r="B56" t="s">
        <v>231</v>
      </c>
      <c r="C56">
        <f>COUNTIFS(datasheet!B2:B210,"id",datasheet!L2:L210,0)</f>
        <v>51</v>
      </c>
      <c r="D56">
        <f>COUNTIFS(datasheet!B2:B210,"au",datasheet!L2:L210,0)</f>
        <v>36</v>
      </c>
      <c r="E56">
        <f>COUNTIFS(datasheet!B2:B210,"jp",datasheet!L2:L210,0)</f>
        <v>22</v>
      </c>
      <c r="F56">
        <f>COUNTIFS(datasheet!B2:B210,"mi",datasheet!L2:L210,0)</f>
        <v>10</v>
      </c>
      <c r="G56">
        <f>COUNTIFS(datasheet!B2:B210,"fj",datasheet!L2:L210,0)</f>
        <v>10</v>
      </c>
      <c r="H56">
        <f>COUNTIFS(datasheet!B2:B210,"hi",datasheet!L2:L210,0)</f>
        <v>11</v>
      </c>
      <c r="I56">
        <f>COUNTIFS(datasheet!B2:B210,"fp",datasheet!L2:L210,0)</f>
        <v>12</v>
      </c>
      <c r="J56">
        <f>COUNTIFS(datasheet!L2:L210,0)</f>
        <v>152</v>
      </c>
      <c r="K56" s="26">
        <f t="shared" ref="K56:K58" si="81">C56/C$2</f>
        <v>0.75</v>
      </c>
      <c r="L56" s="26">
        <f t="shared" ref="L56:L58" si="82">D56/D$2</f>
        <v>0.65454545454545454</v>
      </c>
      <c r="M56" s="26">
        <f t="shared" ref="M56:M58" si="83">E56/E$2</f>
        <v>0.95652173913043481</v>
      </c>
      <c r="N56" s="26">
        <f t="shared" ref="N56:N58" si="84">F56/F$2</f>
        <v>0.58823529411764708</v>
      </c>
      <c r="O56" s="26">
        <f t="shared" ref="O56:O58" si="85">G56/G$2</f>
        <v>0.625</v>
      </c>
      <c r="P56" s="26">
        <f t="shared" ref="P56:P58" si="86">H56/H$2</f>
        <v>0.73333333333333328</v>
      </c>
      <c r="Q56" s="26">
        <f t="shared" ref="Q56:Q58" si="87">I56/I$2</f>
        <v>0.8</v>
      </c>
      <c r="R56" s="26">
        <f t="shared" ref="R56:R58" si="88">J56/J$2</f>
        <v>0.72727272727272729</v>
      </c>
    </row>
    <row r="57" spans="1:18" x14ac:dyDescent="0.35">
      <c r="B57" t="s">
        <v>232</v>
      </c>
      <c r="C57">
        <f>COUNTIFS(datasheet!B2:B210,"id",datasheet!L2:L210,"&lt;0")</f>
        <v>4</v>
      </c>
      <c r="D57">
        <f>COUNTIFS(datasheet!B2:B210,"au",datasheet!L2:L210,"&lt;0")</f>
        <v>12</v>
      </c>
      <c r="E57">
        <f>COUNTIFS(datasheet!B2:B210,"jp",datasheet!L2:L210,"&lt;0")</f>
        <v>0</v>
      </c>
      <c r="F57">
        <f>COUNTIFS(datasheet!B2:B210,"mi",datasheet!L2:L210,"&lt;0")</f>
        <v>4</v>
      </c>
      <c r="G57">
        <f>COUNTIFS(datasheet!B2:B210,"fj",datasheet!L2:L210,"&lt;0")</f>
        <v>6</v>
      </c>
      <c r="H57">
        <f>COUNTIFS(datasheet!B2:B210,"hi",datasheet!L2:L210,"&lt;0")</f>
        <v>3</v>
      </c>
      <c r="I57">
        <f>COUNTIFS(datasheet!B2:B210,"fp",datasheet!L2:L210,"&lt;0")</f>
        <v>2</v>
      </c>
      <c r="J57">
        <f>COUNTIFS(datasheet!L2:L210,"&lt;0")</f>
        <v>31</v>
      </c>
      <c r="K57" s="26">
        <f t="shared" si="81"/>
        <v>5.8823529411764705E-2</v>
      </c>
      <c r="L57" s="26">
        <f t="shared" si="82"/>
        <v>0.21818181818181817</v>
      </c>
      <c r="M57" s="26">
        <f t="shared" si="83"/>
        <v>0</v>
      </c>
      <c r="N57" s="26">
        <f t="shared" si="84"/>
        <v>0.23529411764705882</v>
      </c>
      <c r="O57" s="26">
        <f t="shared" si="85"/>
        <v>0.375</v>
      </c>
      <c r="P57" s="26">
        <f t="shared" si="86"/>
        <v>0.2</v>
      </c>
      <c r="Q57" s="26">
        <f t="shared" si="87"/>
        <v>0.13333333333333333</v>
      </c>
      <c r="R57" s="26">
        <f t="shared" si="88"/>
        <v>0.14832535885167464</v>
      </c>
    </row>
    <row r="58" spans="1:18" x14ac:dyDescent="0.35">
      <c r="B58" t="s">
        <v>233</v>
      </c>
      <c r="C58">
        <f>COUNTIFS(datasheet!B2:B210,"id",datasheet!L2:L210,"&gt;0")</f>
        <v>13</v>
      </c>
      <c r="D58">
        <f>COUNTIFS(datasheet!B2:B210,"au",datasheet!L2:L210,"&gt;0")</f>
        <v>7</v>
      </c>
      <c r="E58">
        <f>COUNTIFS(datasheet!B2:B210,"jp",datasheet!L2:L210,"&gt;0")</f>
        <v>1</v>
      </c>
      <c r="F58">
        <f>COUNTIFS(datasheet!B2:B210,"mi",datasheet!L2:L210,"&gt;0")</f>
        <v>3</v>
      </c>
      <c r="G58">
        <f>COUNTIFS(datasheet!B2:B210,"fj",datasheet!L2:L210,"&gt;0")</f>
        <v>0</v>
      </c>
      <c r="H58">
        <f>COUNTIFS(datasheet!B2:B210,"hi",datasheet!L2:L210,"&gt;0")</f>
        <v>1</v>
      </c>
      <c r="I58">
        <f>COUNTIFS(datasheet!B2:B210,"fp",datasheet!L2:L210,"&gt;0")</f>
        <v>1</v>
      </c>
      <c r="J58">
        <f>COUNTIFS(datasheet!L2:L210,"&gt;0")</f>
        <v>26</v>
      </c>
      <c r="K58" s="26">
        <f t="shared" si="81"/>
        <v>0.19117647058823528</v>
      </c>
      <c r="L58" s="26">
        <f t="shared" si="82"/>
        <v>0.12727272727272726</v>
      </c>
      <c r="M58" s="26">
        <f t="shared" si="83"/>
        <v>4.3478260869565216E-2</v>
      </c>
      <c r="N58" s="26">
        <f t="shared" si="84"/>
        <v>0.17647058823529413</v>
      </c>
      <c r="O58" s="26">
        <f t="shared" si="85"/>
        <v>0</v>
      </c>
      <c r="P58" s="26">
        <f t="shared" si="86"/>
        <v>6.6666666666666666E-2</v>
      </c>
      <c r="Q58" s="26">
        <f t="shared" si="87"/>
        <v>6.6666666666666666E-2</v>
      </c>
      <c r="R58" s="26">
        <f t="shared" si="88"/>
        <v>0.12440191387559808</v>
      </c>
    </row>
    <row r="59" spans="1:18" x14ac:dyDescent="0.35">
      <c r="A59" t="s">
        <v>248</v>
      </c>
      <c r="B59" t="s">
        <v>245</v>
      </c>
      <c r="C59">
        <f>COUNTIFS(datasheet!B2:B210,"id",datasheet!P2:P210,1)</f>
        <v>16</v>
      </c>
      <c r="D59">
        <f>COUNTIFS(datasheet!B2:B210,"au",datasheet!P2:P210,1)</f>
        <v>11</v>
      </c>
      <c r="E59">
        <f>COUNTIFS(datasheet!B2:B210,"jp",datasheet!P2:P210,1)</f>
        <v>10</v>
      </c>
      <c r="F59">
        <f>COUNTIFS(datasheet!B2:B210,"mi",datasheet!P2:P210,1)</f>
        <v>10</v>
      </c>
      <c r="G59">
        <f>COUNTIFS(datasheet!B2:B210,"fj",datasheet!P2:P210,1)</f>
        <v>8</v>
      </c>
      <c r="H59">
        <f>COUNTIFS(datasheet!B2:B210,"hi",datasheet!P2:P210,1)</f>
        <v>2</v>
      </c>
      <c r="I59">
        <f>COUNTIFS(datasheet!B2:B210,"fp",datasheet!P2:P210,1)</f>
        <v>9</v>
      </c>
      <c r="J59">
        <f t="shared" ref="J59:J64" si="89">SUM(C59:I59)</f>
        <v>66</v>
      </c>
      <c r="K59" s="26">
        <f t="shared" ref="K59:K61" si="90">C59/C$2</f>
        <v>0.23529411764705882</v>
      </c>
      <c r="L59" s="26">
        <f t="shared" ref="L59:L61" si="91">D59/D$2</f>
        <v>0.2</v>
      </c>
      <c r="M59" s="26">
        <f t="shared" ref="M59:M61" si="92">E59/E$2</f>
        <v>0.43478260869565216</v>
      </c>
      <c r="N59" s="26">
        <f t="shared" ref="N59:N61" si="93">F59/F$2</f>
        <v>0.58823529411764708</v>
      </c>
      <c r="O59" s="26">
        <f t="shared" ref="O59:O61" si="94">G59/G$2</f>
        <v>0.5</v>
      </c>
      <c r="P59" s="26">
        <f t="shared" ref="P59:P61" si="95">H59/H$2</f>
        <v>0.13333333333333333</v>
      </c>
      <c r="Q59" s="26">
        <f t="shared" ref="Q59:Q61" si="96">I59/I$2</f>
        <v>0.6</v>
      </c>
      <c r="R59" s="26">
        <f t="shared" ref="R59:R61" si="97">J59/J$2</f>
        <v>0.31578947368421051</v>
      </c>
    </row>
    <row r="60" spans="1:18" x14ac:dyDescent="0.35">
      <c r="B60" t="s">
        <v>246</v>
      </c>
      <c r="C60">
        <f>COUNTIFS(datasheet!B2:B210,"id",datasheet!P2:P210,2)</f>
        <v>30</v>
      </c>
      <c r="D60">
        <f>COUNTIFS(datasheet!B2:B210,"au",datasheet!P2:P210,2)</f>
        <v>24</v>
      </c>
      <c r="E60">
        <f>COUNTIFS(datasheet!B2:B210,"jp",datasheet!P2:P210,2)</f>
        <v>7</v>
      </c>
      <c r="F60">
        <f>COUNTIFS(datasheet!B2:B210,"mi",datasheet!P2:P210,2)</f>
        <v>5</v>
      </c>
      <c r="G60">
        <f>COUNTIFS(datasheet!B2:B210,"fj",datasheet!P2:P210,2)</f>
        <v>4</v>
      </c>
      <c r="H60">
        <f>COUNTIFS(datasheet!B2:B210,"hi",datasheet!P2:P210,2)</f>
        <v>7</v>
      </c>
      <c r="I60">
        <f>COUNTIFS(datasheet!B2:B210,"fp",datasheet!P2:P210,2)</f>
        <v>2</v>
      </c>
      <c r="J60">
        <f t="shared" si="89"/>
        <v>79</v>
      </c>
      <c r="K60" s="26">
        <f t="shared" si="90"/>
        <v>0.44117647058823528</v>
      </c>
      <c r="L60" s="26">
        <f t="shared" si="91"/>
        <v>0.43636363636363634</v>
      </c>
      <c r="M60" s="26">
        <f t="shared" si="92"/>
        <v>0.30434782608695654</v>
      </c>
      <c r="N60" s="26">
        <f t="shared" si="93"/>
        <v>0.29411764705882354</v>
      </c>
      <c r="O60" s="26">
        <f t="shared" si="94"/>
        <v>0.25</v>
      </c>
      <c r="P60" s="26">
        <f t="shared" si="95"/>
        <v>0.46666666666666667</v>
      </c>
      <c r="Q60" s="26">
        <f t="shared" si="96"/>
        <v>0.13333333333333333</v>
      </c>
      <c r="R60" s="26">
        <f t="shared" si="97"/>
        <v>0.37799043062200954</v>
      </c>
    </row>
    <row r="61" spans="1:18" x14ac:dyDescent="0.35">
      <c r="B61" t="s">
        <v>247</v>
      </c>
      <c r="C61">
        <f>COUNTIFS(datasheet!B2:B210,"id",datasheet!P2:P210,3)</f>
        <v>22</v>
      </c>
      <c r="D61">
        <f>COUNTIFS(datasheet!B2:B210,"au",datasheet!P2:P210,3)</f>
        <v>20</v>
      </c>
      <c r="E61">
        <f>COUNTIFS(datasheet!B2:B210,"jp",datasheet!P2:P210,3)</f>
        <v>5</v>
      </c>
      <c r="F61">
        <f>COUNTIFS(datasheet!B2:B210,"mi",datasheet!P2:P210,3)</f>
        <v>2</v>
      </c>
      <c r="G61">
        <f>COUNTIFS(datasheet!B2:B210,"fj",datasheet!P2:P210,3)</f>
        <v>4</v>
      </c>
      <c r="H61">
        <f>COUNTIFS(datasheet!B2:B210,"hi",datasheet!P2:P210,3)</f>
        <v>6</v>
      </c>
      <c r="I61">
        <f>COUNTIFS(datasheet!B2:B210,"fp",datasheet!P2:P210,3)</f>
        <v>4</v>
      </c>
      <c r="J61">
        <f t="shared" si="89"/>
        <v>63</v>
      </c>
      <c r="K61" s="26">
        <f t="shared" si="90"/>
        <v>0.3235294117647059</v>
      </c>
      <c r="L61" s="26">
        <f t="shared" si="91"/>
        <v>0.36363636363636365</v>
      </c>
      <c r="M61" s="26">
        <f t="shared" si="92"/>
        <v>0.21739130434782608</v>
      </c>
      <c r="N61" s="26">
        <f t="shared" si="93"/>
        <v>0.11764705882352941</v>
      </c>
      <c r="O61" s="26">
        <f t="shared" si="94"/>
        <v>0.25</v>
      </c>
      <c r="P61" s="26">
        <f t="shared" si="95"/>
        <v>0.4</v>
      </c>
      <c r="Q61" s="26">
        <f t="shared" si="96"/>
        <v>0.26666666666666666</v>
      </c>
      <c r="R61" s="26">
        <f t="shared" si="97"/>
        <v>0.30143540669856461</v>
      </c>
    </row>
    <row r="62" spans="1:18" x14ac:dyDescent="0.35">
      <c r="A62" t="s">
        <v>249</v>
      </c>
      <c r="B62" t="s">
        <v>231</v>
      </c>
      <c r="C62">
        <f>COUNTIFS(datasheet!B2:B210,"id",datasheet!R2:R210,0)</f>
        <v>65</v>
      </c>
      <c r="D62">
        <f>COUNTIFS(datasheet!B2:B210,"au",datasheet!R2:R210,0)</f>
        <v>53</v>
      </c>
      <c r="E62">
        <f>COUNTIFS(datasheet!B2:B210,"jp",datasheet!R2:R210,0)</f>
        <v>22</v>
      </c>
      <c r="F62">
        <f>COUNTIFS(datasheet!B2:B210,"mi",datasheet!R2:R210,0)</f>
        <v>16</v>
      </c>
      <c r="G62">
        <f>COUNTIFS(datasheet!B2:B210,"fj",datasheet!R2:R210,0)</f>
        <v>15</v>
      </c>
      <c r="H62">
        <f>COUNTIFS(datasheet!B2:B210,"hi",datasheet!R2:R210,0)</f>
        <v>15</v>
      </c>
      <c r="I62">
        <f>COUNTIFS(datasheet!B2:B210,"fp",datasheet!R2:R210,0)</f>
        <v>14</v>
      </c>
      <c r="J62">
        <f t="shared" si="89"/>
        <v>200</v>
      </c>
      <c r="K62" s="26">
        <f t="shared" ref="K62:K63" si="98">C62/C$2</f>
        <v>0.95588235294117652</v>
      </c>
      <c r="L62" s="26">
        <f t="shared" ref="L62:L63" si="99">D62/D$2</f>
        <v>0.96363636363636362</v>
      </c>
      <c r="M62" s="26">
        <f>E62/E$2</f>
        <v>0.95652173913043481</v>
      </c>
      <c r="N62" s="26">
        <f t="shared" ref="N62:N63" si="100">F62/F$2</f>
        <v>0.94117647058823528</v>
      </c>
      <c r="O62" s="26">
        <f t="shared" ref="O62:O63" si="101">G62/G$2</f>
        <v>0.9375</v>
      </c>
      <c r="P62" s="26">
        <f t="shared" ref="P62:P63" si="102">H62/H$2</f>
        <v>1</v>
      </c>
      <c r="Q62" s="26">
        <f t="shared" ref="Q62:Q63" si="103">I62/I$2</f>
        <v>0.93333333333333335</v>
      </c>
      <c r="R62" s="26">
        <f t="shared" ref="R62:R63" si="104">J62/J$2</f>
        <v>0.9569377990430622</v>
      </c>
    </row>
    <row r="63" spans="1:18" x14ac:dyDescent="0.35">
      <c r="B63" t="s">
        <v>232</v>
      </c>
      <c r="C63">
        <f>COUNTIFS(datasheet!B2:B210,"id",datasheet!R2:R210,"&lt;0")</f>
        <v>1</v>
      </c>
      <c r="D63">
        <f>COUNTIFS(datasheet!B2:B210,"au",datasheet!R2:R210,"&lt;0")</f>
        <v>1</v>
      </c>
      <c r="E63">
        <f>COUNTIFS(datasheet!B2:B210,"jp",datasheet!R2:R210,"&lt;0")</f>
        <v>0</v>
      </c>
      <c r="F63">
        <f>COUNTIFS(datasheet!B2:B210,"mi",datasheet!R2:R210,"&lt;0")</f>
        <v>0</v>
      </c>
      <c r="G63">
        <f>COUNTIFS(datasheet!B2:B210,"fj",datasheet!R2:R210,"&lt;0")</f>
        <v>0</v>
      </c>
      <c r="H63">
        <f>COUNTIFS(datasheet!B2:B210,"hi",datasheet!R2:R210,"&lt;0")</f>
        <v>0</v>
      </c>
      <c r="I63">
        <f>COUNTIFS(datasheet!B2:B210,"fp",datasheet!R2:R210,"&lt;0")</f>
        <v>0</v>
      </c>
      <c r="J63">
        <f t="shared" si="89"/>
        <v>2</v>
      </c>
      <c r="K63" s="26">
        <f t="shared" si="98"/>
        <v>1.4705882352941176E-2</v>
      </c>
      <c r="L63" s="26">
        <f t="shared" si="99"/>
        <v>1.8181818181818181E-2</v>
      </c>
      <c r="M63" s="26">
        <f>E63/E$2</f>
        <v>0</v>
      </c>
      <c r="N63" s="26">
        <f t="shared" si="100"/>
        <v>0</v>
      </c>
      <c r="O63" s="26">
        <f t="shared" si="101"/>
        <v>0</v>
      </c>
      <c r="P63" s="26">
        <f t="shared" si="102"/>
        <v>0</v>
      </c>
      <c r="Q63" s="26">
        <f t="shared" si="103"/>
        <v>0</v>
      </c>
      <c r="R63" s="26">
        <f t="shared" si="104"/>
        <v>9.5693779904306216E-3</v>
      </c>
    </row>
    <row r="64" spans="1:18" x14ac:dyDescent="0.35">
      <c r="B64" t="s">
        <v>233</v>
      </c>
      <c r="C64">
        <f>COUNTIFS(datasheet!B2:B210,"id",datasheet!R2:R210,"&gt;0")</f>
        <v>2</v>
      </c>
      <c r="D64">
        <f>COUNTIFS(datasheet!B2:B210,"au",datasheet!R2:R210,"&gt;0")</f>
        <v>1</v>
      </c>
      <c r="E64">
        <f>COUNTIFS(datasheet!B2:B210,"jp",datasheet!R2:R210,"&gt;0")</f>
        <v>0</v>
      </c>
      <c r="F64">
        <f>COUNTIFS(datasheet!B2:B210,"mi",datasheet!R2:R210,"&gt;0")</f>
        <v>1</v>
      </c>
      <c r="G64">
        <f>COUNTIFS(datasheet!B2:B210,"fj",datasheet!R2:R210,"&gt;0")</f>
        <v>1</v>
      </c>
      <c r="H64">
        <f>COUNTIFS(datasheet!B2:B210,"hi",datasheet!R2:R210,"&gt;0")</f>
        <v>0</v>
      </c>
      <c r="I64">
        <f>COUNTIFS(datasheet!B2:B210,"fp",datasheet!R2:R210,"&gt;0")</f>
        <v>1</v>
      </c>
      <c r="J64">
        <f t="shared" si="89"/>
        <v>6</v>
      </c>
      <c r="K64" s="26">
        <f t="shared" ref="K64" si="105">C64/C$2</f>
        <v>2.9411764705882353E-2</v>
      </c>
      <c r="L64" s="26">
        <f t="shared" ref="L64" si="106">D64/D$2</f>
        <v>1.8181818181818181E-2</v>
      </c>
      <c r="M64" s="26">
        <f>E64/E$2</f>
        <v>0</v>
      </c>
      <c r="N64" s="26">
        <f t="shared" ref="N64" si="107">F64/F$2</f>
        <v>5.8823529411764705E-2</v>
      </c>
      <c r="O64" s="26">
        <f t="shared" ref="O64" si="108">G64/G$2</f>
        <v>6.25E-2</v>
      </c>
      <c r="P64" s="26">
        <f t="shared" ref="P64" si="109">H64/H$2</f>
        <v>0</v>
      </c>
      <c r="Q64" s="26">
        <f t="shared" ref="Q64" si="110">I64/I$2</f>
        <v>6.6666666666666666E-2</v>
      </c>
      <c r="R64" s="26">
        <f t="shared" ref="R64" si="111">J64/J$2</f>
        <v>2.8708133971291867E-2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78"/>
  <sheetViews>
    <sheetView workbookViewId="0">
      <selection activeCell="A2" sqref="A2"/>
    </sheetView>
  </sheetViews>
  <sheetFormatPr defaultRowHeight="14.5" x14ac:dyDescent="0.35"/>
  <cols>
    <col min="2" max="2" width="10.26953125" bestFit="1" customWidth="1"/>
    <col min="3" max="3" width="10.7265625" customWidth="1"/>
    <col min="4" max="4" width="12.26953125" bestFit="1" customWidth="1"/>
    <col min="5" max="5" width="12.26953125" customWidth="1"/>
    <col min="7" max="7" width="9.6328125" bestFit="1" customWidth="1"/>
    <col min="8" max="8" width="12.26953125" bestFit="1" customWidth="1"/>
    <col min="9" max="9" width="12.26953125" customWidth="1"/>
    <col min="11" max="11" width="9.6328125" bestFit="1" customWidth="1"/>
    <col min="12" max="12" width="12.26953125" bestFit="1" customWidth="1"/>
    <col min="13" max="13" width="12.26953125" customWidth="1"/>
    <col min="15" max="15" width="9.6328125" bestFit="1" customWidth="1"/>
    <col min="16" max="16" width="12.26953125" bestFit="1" customWidth="1"/>
    <col min="17" max="17" width="12.26953125" customWidth="1"/>
  </cols>
  <sheetData>
    <row r="2" spans="2:18" x14ac:dyDescent="0.35">
      <c r="C2" s="22" t="s">
        <v>186</v>
      </c>
    </row>
    <row r="3" spans="2:18" x14ac:dyDescent="0.35">
      <c r="C3" s="22" t="s">
        <v>187</v>
      </c>
    </row>
    <row r="5" spans="2:18" x14ac:dyDescent="0.35">
      <c r="B5" s="3" t="s">
        <v>189</v>
      </c>
    </row>
    <row r="6" spans="2:18" x14ac:dyDescent="0.35">
      <c r="C6" s="48" t="s">
        <v>71</v>
      </c>
      <c r="D6" s="48"/>
      <c r="E6" s="41"/>
      <c r="F6" s="25"/>
      <c r="G6" s="48" t="s">
        <v>74</v>
      </c>
      <c r="H6" s="48"/>
      <c r="I6" s="48"/>
      <c r="J6" s="48"/>
      <c r="K6" s="48" t="s">
        <v>178</v>
      </c>
      <c r="L6" s="48"/>
      <c r="M6" s="48"/>
      <c r="N6" s="48"/>
      <c r="O6" s="48" t="s">
        <v>179</v>
      </c>
      <c r="P6" s="48"/>
      <c r="Q6" s="48"/>
      <c r="R6" s="48"/>
    </row>
    <row r="7" spans="2:18" x14ac:dyDescent="0.35">
      <c r="C7" s="17" t="s">
        <v>273</v>
      </c>
      <c r="D7" s="17" t="s">
        <v>274</v>
      </c>
      <c r="E7" s="17" t="s">
        <v>275</v>
      </c>
      <c r="F7" s="20" t="s">
        <v>180</v>
      </c>
      <c r="G7" s="17" t="s">
        <v>273</v>
      </c>
      <c r="H7" s="17" t="s">
        <v>274</v>
      </c>
      <c r="I7" s="17" t="s">
        <v>275</v>
      </c>
      <c r="J7" s="20" t="s">
        <v>180</v>
      </c>
      <c r="K7" s="17" t="s">
        <v>273</v>
      </c>
      <c r="L7" s="17" t="s">
        <v>274</v>
      </c>
      <c r="M7" s="17" t="s">
        <v>275</v>
      </c>
      <c r="N7" s="20" t="s">
        <v>180</v>
      </c>
      <c r="O7" s="17" t="s">
        <v>273</v>
      </c>
      <c r="P7" s="17" t="s">
        <v>274</v>
      </c>
      <c r="Q7" s="17" t="s">
        <v>275</v>
      </c>
      <c r="R7" s="20" t="s">
        <v>180</v>
      </c>
    </row>
    <row r="8" spans="2:18" x14ac:dyDescent="0.35">
      <c r="B8" s="6" t="s">
        <v>176</v>
      </c>
      <c r="C8" s="18">
        <f>COUNTIFS(datasheet!I2:I210,"&gt;0",datasheet!U2:U210,0)</f>
        <v>76</v>
      </c>
      <c r="D8" s="18">
        <f>COUNTIFS(datasheet!I2:I210,"&gt;0",datasheet!U2:U210,"&lt;0")</f>
        <v>34</v>
      </c>
      <c r="E8" s="18">
        <f>COUNTIFS(datasheet!I2:I210,"&gt;0",datasheet!U2:U210,"&gt;0")</f>
        <v>38</v>
      </c>
      <c r="F8" s="18">
        <f>SUM(C8:E8)</f>
        <v>148</v>
      </c>
      <c r="G8" s="18">
        <f>COUNTIFS(datasheet!I2:I210,"&gt;0",datasheet!X2:X210,0)</f>
        <v>118</v>
      </c>
      <c r="H8" s="18">
        <f>COUNTIFS(datasheet!I2:I210,"&gt;0",datasheet!X2:X210,"&lt;0")</f>
        <v>10</v>
      </c>
      <c r="I8" s="18">
        <f>COUNTIFS(datasheet!I2:I210,"&gt;0",datasheet!X2:X210,"&gt;0")</f>
        <v>19</v>
      </c>
      <c r="J8" s="18">
        <f>SUM(G8:I8)</f>
        <v>147</v>
      </c>
      <c r="K8" s="18">
        <f>COUNTIFS(datasheet!I2:I210,"&gt;0",datasheet!O2:O210,0)</f>
        <v>63</v>
      </c>
      <c r="L8" s="18">
        <f>COUNTIFS(datasheet!I2:I210,"&gt;0",datasheet!O2:O210,"&lt;0")</f>
        <v>80</v>
      </c>
      <c r="M8" s="18">
        <f>COUNTIFS(datasheet!I2:I210,"&gt;0",datasheet!O2:O210,"&gt;0")</f>
        <v>6</v>
      </c>
      <c r="N8" s="18">
        <f>SUM(K8:M8)</f>
        <v>149</v>
      </c>
      <c r="O8" s="18">
        <f>COUNTIFS(datasheet!I2:I210,"&gt;0",datasheet!L2:L210,0)</f>
        <v>102</v>
      </c>
      <c r="P8" s="18">
        <f>COUNTIFS(datasheet!I2:I210,"&gt;0",datasheet!L2:L210,"&lt;0")</f>
        <v>31</v>
      </c>
      <c r="Q8" s="18">
        <f>COUNTIFS(datasheet!I2:I210,"&gt;0",datasheet!L2:L210,"&gt;0")</f>
        <v>16</v>
      </c>
      <c r="R8" s="18">
        <f>SUM(O8:Q8)</f>
        <v>149</v>
      </c>
    </row>
    <row r="9" spans="2:18" x14ac:dyDescent="0.35">
      <c r="B9" s="6" t="s">
        <v>177</v>
      </c>
      <c r="C9" s="18">
        <f>COUNTIFS(datasheet!I2:I210,0,datasheet!U2:U210,0)</f>
        <v>46</v>
      </c>
      <c r="D9" s="18">
        <f>COUNTIFS(datasheet!I2:I210,0,datasheet!U2:U210,"&lt;0")</f>
        <v>9</v>
      </c>
      <c r="E9" s="18">
        <f>COUNTIFS(datasheet!I2:I210,0,datasheet!U2:U210,"&gt;0")</f>
        <v>5</v>
      </c>
      <c r="F9" s="18">
        <f t="shared" ref="F9" si="0">SUM(C9:E9)</f>
        <v>60</v>
      </c>
      <c r="G9" s="18">
        <f>COUNTIFS(datasheet!I2:I210,0,datasheet!X2:X210,0)</f>
        <v>48</v>
      </c>
      <c r="H9" s="18">
        <f>COUNTIFS(datasheet!I2:I210,0,datasheet!X2:X210,"&lt;0")</f>
        <v>4</v>
      </c>
      <c r="I9" s="18">
        <f>COUNTIFS(datasheet!I2:I210,0,datasheet!X2:X210,"&gt;0")</f>
        <v>8</v>
      </c>
      <c r="J9" s="18">
        <f t="shared" ref="J9" si="1">SUM(G9:I9)</f>
        <v>60</v>
      </c>
      <c r="K9" s="18">
        <f>COUNTIFS(datasheet!I2:I210,0,datasheet!O2:O210,0)</f>
        <v>51</v>
      </c>
      <c r="L9" s="18">
        <f>COUNTIFS(datasheet!I2:I210,0,datasheet!O2:O210,"&lt;0")</f>
        <v>7</v>
      </c>
      <c r="M9" s="18">
        <f>COUNTIFS(datasheet!I2:I210,0,datasheet!O2:O210,"&gt;0")</f>
        <v>1</v>
      </c>
      <c r="N9" s="18">
        <f t="shared" ref="N9" si="2">SUM(K9:M9)</f>
        <v>59</v>
      </c>
      <c r="O9" s="18">
        <f>COUNTIFS(datasheet!I2:I210,0,datasheet!L2:L210,0)</f>
        <v>50</v>
      </c>
      <c r="P9" s="18">
        <f>COUNTIFS(datasheet!I2:I210,0,datasheet!L2:L210,"&lt;0")</f>
        <v>0</v>
      </c>
      <c r="Q9" s="18">
        <f>COUNTIFS(datasheet!I2:I210,0,datasheet!L2:L210,"&gt;0")</f>
        <v>10</v>
      </c>
      <c r="R9" s="18">
        <f t="shared" ref="R9" si="3">SUM(O9:Q9)</f>
        <v>60</v>
      </c>
    </row>
    <row r="10" spans="2:18" x14ac:dyDescent="0.35">
      <c r="B10" s="3" t="s">
        <v>180</v>
      </c>
      <c r="C10" s="18">
        <f>SUM(C8:C9)</f>
        <v>122</v>
      </c>
      <c r="D10" s="18">
        <f t="shared" ref="D10:F10" si="4">SUM(D8:D9)</f>
        <v>43</v>
      </c>
      <c r="E10" s="18">
        <f t="shared" si="4"/>
        <v>43</v>
      </c>
      <c r="F10" s="18">
        <f t="shared" si="4"/>
        <v>208</v>
      </c>
      <c r="G10" s="18">
        <f t="shared" ref="G10" si="5">SUM(G8:G9)</f>
        <v>166</v>
      </c>
      <c r="H10" s="18">
        <f t="shared" ref="H10" si="6">SUM(H8:H9)</f>
        <v>14</v>
      </c>
      <c r="I10" s="18">
        <f t="shared" ref="I10" si="7">SUM(I8:I9)</f>
        <v>27</v>
      </c>
      <c r="J10" s="18">
        <f t="shared" ref="J10" si="8">SUM(J8:J9)</f>
        <v>207</v>
      </c>
      <c r="K10" s="22">
        <f>SUM(K8:K9)</f>
        <v>114</v>
      </c>
      <c r="L10" s="22">
        <f t="shared" ref="L10:N10" si="9">SUM(L8:L9)</f>
        <v>87</v>
      </c>
      <c r="M10" s="22">
        <f t="shared" si="9"/>
        <v>7</v>
      </c>
      <c r="N10" s="22">
        <f t="shared" si="9"/>
        <v>208</v>
      </c>
      <c r="O10" s="22">
        <f>SUM(O8:O9)</f>
        <v>152</v>
      </c>
      <c r="P10" s="22">
        <f t="shared" ref="P10:R10" si="10">SUM(P8:P9)</f>
        <v>31</v>
      </c>
      <c r="Q10" s="22">
        <f t="shared" si="10"/>
        <v>26</v>
      </c>
      <c r="R10" s="22">
        <f t="shared" si="10"/>
        <v>209</v>
      </c>
    </row>
    <row r="12" spans="2:18" x14ac:dyDescent="0.35">
      <c r="B12" s="3" t="s">
        <v>188</v>
      </c>
    </row>
    <row r="13" spans="2:18" x14ac:dyDescent="0.35">
      <c r="C13" s="48" t="s">
        <v>71</v>
      </c>
      <c r="D13" s="48"/>
      <c r="E13" s="41"/>
      <c r="F13" s="25"/>
      <c r="G13" s="48" t="s">
        <v>74</v>
      </c>
      <c r="H13" s="48"/>
      <c r="I13" s="48"/>
      <c r="J13" s="48"/>
      <c r="K13" s="48" t="s">
        <v>178</v>
      </c>
      <c r="L13" s="48"/>
      <c r="M13" s="48"/>
      <c r="N13" s="48"/>
      <c r="O13" s="48" t="s">
        <v>179</v>
      </c>
      <c r="P13" s="48"/>
      <c r="Q13" s="48"/>
      <c r="R13" s="48"/>
    </row>
    <row r="14" spans="2:18" x14ac:dyDescent="0.35">
      <c r="C14" s="17" t="s">
        <v>273</v>
      </c>
      <c r="D14" s="17" t="s">
        <v>274</v>
      </c>
      <c r="E14" s="17" t="s">
        <v>275</v>
      </c>
      <c r="F14" s="20" t="s">
        <v>180</v>
      </c>
      <c r="G14" s="17" t="s">
        <v>273</v>
      </c>
      <c r="H14" s="17" t="s">
        <v>274</v>
      </c>
      <c r="I14" s="17" t="s">
        <v>275</v>
      </c>
      <c r="J14" s="20" t="s">
        <v>180</v>
      </c>
      <c r="K14" s="17" t="s">
        <v>273</v>
      </c>
      <c r="L14" s="17" t="s">
        <v>274</v>
      </c>
      <c r="M14" s="17" t="s">
        <v>275</v>
      </c>
      <c r="N14" s="20" t="s">
        <v>180</v>
      </c>
      <c r="O14" s="17" t="s">
        <v>273</v>
      </c>
      <c r="P14" s="17" t="s">
        <v>274</v>
      </c>
      <c r="Q14" s="17" t="s">
        <v>275</v>
      </c>
      <c r="R14" s="20" t="s">
        <v>180</v>
      </c>
    </row>
    <row r="15" spans="2:18" x14ac:dyDescent="0.35">
      <c r="B15" s="6" t="s">
        <v>176</v>
      </c>
      <c r="C15" s="23">
        <f t="shared" ref="C15" si="11">C8/$F8</f>
        <v>0.51351351351351349</v>
      </c>
      <c r="D15" s="23">
        <f t="shared" ref="D15:F15" si="12">D8/$F8</f>
        <v>0.22972972972972974</v>
      </c>
      <c r="E15" s="23">
        <f t="shared" si="12"/>
        <v>0.25675675675675674</v>
      </c>
      <c r="F15" s="23">
        <f t="shared" si="12"/>
        <v>1</v>
      </c>
      <c r="G15" s="23">
        <f t="shared" ref="G15" si="13">G8/$J8</f>
        <v>0.80272108843537415</v>
      </c>
      <c r="H15" s="23">
        <f t="shared" ref="H15:J15" si="14">H8/$J8</f>
        <v>6.8027210884353748E-2</v>
      </c>
      <c r="I15" s="23">
        <f t="shared" si="14"/>
        <v>0.12925170068027211</v>
      </c>
      <c r="J15" s="23">
        <f t="shared" si="14"/>
        <v>1</v>
      </c>
      <c r="K15" s="23">
        <f t="shared" ref="K15" si="15">K8/$N8</f>
        <v>0.42281879194630873</v>
      </c>
      <c r="L15" s="23">
        <f t="shared" ref="L15:N15" si="16">L8/$N8</f>
        <v>0.53691275167785235</v>
      </c>
      <c r="M15" s="23">
        <f t="shared" si="16"/>
        <v>4.0268456375838924E-2</v>
      </c>
      <c r="N15" s="23">
        <f t="shared" si="16"/>
        <v>1</v>
      </c>
      <c r="O15" s="23">
        <f t="shared" ref="O15" si="17">O8/$R8</f>
        <v>0.68456375838926176</v>
      </c>
      <c r="P15" s="23">
        <f t="shared" ref="P15:R15" si="18">P8/$R8</f>
        <v>0.20805369127516779</v>
      </c>
      <c r="Q15" s="23">
        <f t="shared" si="18"/>
        <v>0.10738255033557047</v>
      </c>
      <c r="R15" s="23">
        <f t="shared" si="18"/>
        <v>1</v>
      </c>
    </row>
    <row r="16" spans="2:18" x14ac:dyDescent="0.35">
      <c r="B16" s="6" t="s">
        <v>177</v>
      </c>
      <c r="C16" s="23">
        <f t="shared" ref="C16:F16" si="19">C9/$F9</f>
        <v>0.76666666666666672</v>
      </c>
      <c r="D16" s="23">
        <f t="shared" si="19"/>
        <v>0.15</v>
      </c>
      <c r="E16" s="23">
        <f t="shared" si="19"/>
        <v>8.3333333333333329E-2</v>
      </c>
      <c r="F16" s="23">
        <f t="shared" si="19"/>
        <v>1</v>
      </c>
      <c r="G16" s="23">
        <f t="shared" ref="G16:J16" si="20">G9/$J9</f>
        <v>0.8</v>
      </c>
      <c r="H16" s="23">
        <f t="shared" si="20"/>
        <v>6.6666666666666666E-2</v>
      </c>
      <c r="I16" s="23">
        <f t="shared" si="20"/>
        <v>0.13333333333333333</v>
      </c>
      <c r="J16" s="23">
        <f t="shared" si="20"/>
        <v>1</v>
      </c>
      <c r="K16" s="23">
        <f t="shared" ref="K16:N16" si="21">K9/$N9</f>
        <v>0.86440677966101698</v>
      </c>
      <c r="L16" s="23">
        <f t="shared" si="21"/>
        <v>0.11864406779661017</v>
      </c>
      <c r="M16" s="23">
        <f t="shared" si="21"/>
        <v>1.6949152542372881E-2</v>
      </c>
      <c r="N16" s="23">
        <f t="shared" si="21"/>
        <v>1</v>
      </c>
      <c r="O16" s="23">
        <f t="shared" ref="O16:R16" si="22">O9/$R9</f>
        <v>0.83333333333333337</v>
      </c>
      <c r="P16" s="23">
        <f t="shared" si="22"/>
        <v>0</v>
      </c>
      <c r="Q16" s="23">
        <f t="shared" si="22"/>
        <v>0.16666666666666666</v>
      </c>
      <c r="R16" s="23">
        <f t="shared" si="22"/>
        <v>1</v>
      </c>
    </row>
    <row r="17" spans="2:18" x14ac:dyDescent="0.35">
      <c r="B17" s="3" t="s">
        <v>180</v>
      </c>
      <c r="C17" s="23">
        <f t="shared" ref="C17:F17" si="23">C10/$F10</f>
        <v>0.58653846153846156</v>
      </c>
      <c r="D17" s="23">
        <f t="shared" si="23"/>
        <v>0.20673076923076922</v>
      </c>
      <c r="E17" s="23">
        <f t="shared" si="23"/>
        <v>0.20673076923076922</v>
      </c>
      <c r="F17" s="23">
        <f t="shared" si="23"/>
        <v>1</v>
      </c>
      <c r="G17" s="23">
        <f t="shared" ref="G17:J17" si="24">G10/$J10</f>
        <v>0.80193236714975846</v>
      </c>
      <c r="H17" s="23">
        <f t="shared" si="24"/>
        <v>6.7632850241545889E-2</v>
      </c>
      <c r="I17" s="23">
        <f t="shared" si="24"/>
        <v>0.13043478260869565</v>
      </c>
      <c r="J17" s="23">
        <f t="shared" si="24"/>
        <v>1</v>
      </c>
      <c r="K17" s="23">
        <f t="shared" ref="K17:N17" si="25">K10/$N10</f>
        <v>0.54807692307692313</v>
      </c>
      <c r="L17" s="23">
        <f t="shared" si="25"/>
        <v>0.41826923076923078</v>
      </c>
      <c r="M17" s="23">
        <f t="shared" si="25"/>
        <v>3.3653846153846152E-2</v>
      </c>
      <c r="N17" s="23">
        <f t="shared" si="25"/>
        <v>1</v>
      </c>
      <c r="O17" s="23">
        <f t="shared" ref="O17:R17" si="26">O10/$R10</f>
        <v>0.72727272727272729</v>
      </c>
      <c r="P17" s="23">
        <f t="shared" si="26"/>
        <v>0.14832535885167464</v>
      </c>
      <c r="Q17" s="23">
        <f t="shared" si="26"/>
        <v>0.12440191387559808</v>
      </c>
      <c r="R17" s="23">
        <f t="shared" si="26"/>
        <v>1</v>
      </c>
    </row>
    <row r="19" spans="2:18" x14ac:dyDescent="0.35">
      <c r="B19" s="3" t="s">
        <v>181</v>
      </c>
    </row>
    <row r="20" spans="2:18" x14ac:dyDescent="0.35">
      <c r="C20" s="48" t="s">
        <v>71</v>
      </c>
      <c r="D20" s="48"/>
      <c r="E20" s="41"/>
      <c r="F20" s="25"/>
      <c r="G20" s="48" t="s">
        <v>74</v>
      </c>
      <c r="H20" s="48"/>
      <c r="I20" s="48"/>
      <c r="J20" s="48"/>
      <c r="K20" s="48" t="s">
        <v>178</v>
      </c>
      <c r="L20" s="48"/>
      <c r="M20" s="48"/>
      <c r="N20" s="48"/>
      <c r="O20" s="48" t="s">
        <v>179</v>
      </c>
      <c r="P20" s="48"/>
      <c r="Q20" s="48"/>
      <c r="R20" s="48"/>
    </row>
    <row r="21" spans="2:18" x14ac:dyDescent="0.35">
      <c r="C21" s="17" t="s">
        <v>273</v>
      </c>
      <c r="D21" s="17" t="s">
        <v>274</v>
      </c>
      <c r="E21" s="17" t="s">
        <v>275</v>
      </c>
      <c r="F21" s="20" t="s">
        <v>180</v>
      </c>
      <c r="G21" s="17" t="s">
        <v>273</v>
      </c>
      <c r="H21" s="17" t="s">
        <v>274</v>
      </c>
      <c r="I21" s="17" t="s">
        <v>275</v>
      </c>
      <c r="J21" s="20" t="s">
        <v>180</v>
      </c>
      <c r="K21" s="17" t="s">
        <v>273</v>
      </c>
      <c r="L21" s="17" t="s">
        <v>274</v>
      </c>
      <c r="M21" s="17" t="s">
        <v>275</v>
      </c>
      <c r="N21" s="20" t="s">
        <v>180</v>
      </c>
      <c r="O21" s="17" t="s">
        <v>273</v>
      </c>
      <c r="P21" s="17" t="s">
        <v>274</v>
      </c>
      <c r="Q21" s="17" t="s">
        <v>275</v>
      </c>
      <c r="R21" s="20" t="s">
        <v>180</v>
      </c>
    </row>
    <row r="22" spans="2:18" x14ac:dyDescent="0.35">
      <c r="B22" s="6" t="s">
        <v>176</v>
      </c>
      <c r="C22" s="19">
        <f t="shared" ref="C22" si="27">($F8*C$10)/$F$10</f>
        <v>86.807692307692307</v>
      </c>
      <c r="D22" s="19">
        <f t="shared" ref="D22:F22" si="28">($F8*D$10)/$F$10</f>
        <v>30.596153846153847</v>
      </c>
      <c r="E22" s="19">
        <f t="shared" si="28"/>
        <v>30.596153846153847</v>
      </c>
      <c r="F22" s="19">
        <f t="shared" si="28"/>
        <v>148</v>
      </c>
      <c r="G22" s="19">
        <f t="shared" ref="G22" si="29">($J8*G$10)/$J$10</f>
        <v>117.8840579710145</v>
      </c>
      <c r="H22" s="19">
        <f t="shared" ref="H22:J22" si="30">($J8*H$10)/$J$10</f>
        <v>9.9420289855072461</v>
      </c>
      <c r="I22" s="19">
        <f t="shared" si="30"/>
        <v>19.173913043478262</v>
      </c>
      <c r="J22" s="19">
        <f t="shared" si="30"/>
        <v>147</v>
      </c>
      <c r="K22" s="19">
        <f t="shared" ref="K22" si="31">($N8*K$10)/$N$10</f>
        <v>81.663461538461533</v>
      </c>
      <c r="L22" s="19">
        <f t="shared" ref="L22:N22" si="32">($N8*L$10)/$N$10</f>
        <v>62.322115384615387</v>
      </c>
      <c r="M22" s="19">
        <f t="shared" si="32"/>
        <v>5.0144230769230766</v>
      </c>
      <c r="N22" s="19">
        <f t="shared" si="32"/>
        <v>149</v>
      </c>
      <c r="O22" s="19">
        <f t="shared" ref="O22" si="33">($R8*O$10)/$R$10</f>
        <v>108.36363636363636</v>
      </c>
      <c r="P22" s="19">
        <f t="shared" ref="P22:R22" si="34">($R8*P$10)/$R$10</f>
        <v>22.100478468899521</v>
      </c>
      <c r="Q22" s="19">
        <f t="shared" si="34"/>
        <v>18.535885167464116</v>
      </c>
      <c r="R22" s="19">
        <f t="shared" si="34"/>
        <v>149</v>
      </c>
    </row>
    <row r="23" spans="2:18" x14ac:dyDescent="0.35">
      <c r="B23" s="6" t="s">
        <v>177</v>
      </c>
      <c r="C23" s="19">
        <f t="shared" ref="C23:F23" si="35">($F9*C$10)/$F$10</f>
        <v>35.192307692307693</v>
      </c>
      <c r="D23" s="19">
        <f t="shared" si="35"/>
        <v>12.403846153846153</v>
      </c>
      <c r="E23" s="19">
        <f t="shared" si="35"/>
        <v>12.403846153846153</v>
      </c>
      <c r="F23" s="19">
        <f t="shared" si="35"/>
        <v>60</v>
      </c>
      <c r="G23" s="19">
        <f t="shared" ref="G23:J23" si="36">($J9*G$10)/$J$10</f>
        <v>48.115942028985508</v>
      </c>
      <c r="H23" s="19">
        <f t="shared" si="36"/>
        <v>4.0579710144927539</v>
      </c>
      <c r="I23" s="19">
        <f t="shared" si="36"/>
        <v>7.8260869565217392</v>
      </c>
      <c r="J23" s="19">
        <f t="shared" si="36"/>
        <v>60</v>
      </c>
      <c r="K23" s="19">
        <f t="shared" ref="K23:N23" si="37">($N9*K$10)/$N$10</f>
        <v>32.33653846153846</v>
      </c>
      <c r="L23" s="19">
        <f t="shared" si="37"/>
        <v>24.677884615384617</v>
      </c>
      <c r="M23" s="19">
        <f t="shared" si="37"/>
        <v>1.9855769230769231</v>
      </c>
      <c r="N23" s="19">
        <f t="shared" si="37"/>
        <v>59</v>
      </c>
      <c r="O23" s="19">
        <f t="shared" ref="O23:R23" si="38">($R9*O$10)/$R$10</f>
        <v>43.636363636363633</v>
      </c>
      <c r="P23" s="19">
        <f t="shared" si="38"/>
        <v>8.8995215311004792</v>
      </c>
      <c r="Q23" s="19">
        <f t="shared" si="38"/>
        <v>7.464114832535885</v>
      </c>
      <c r="R23" s="19">
        <f t="shared" si="38"/>
        <v>60</v>
      </c>
    </row>
    <row r="24" spans="2:18" x14ac:dyDescent="0.35">
      <c r="B24" s="3" t="s">
        <v>180</v>
      </c>
      <c r="C24" s="19">
        <f t="shared" ref="C24:F24" si="39">($F10*C$10)/$F$10</f>
        <v>122</v>
      </c>
      <c r="D24" s="19">
        <f t="shared" si="39"/>
        <v>43</v>
      </c>
      <c r="E24" s="19">
        <f t="shared" si="39"/>
        <v>43</v>
      </c>
      <c r="F24" s="19">
        <f t="shared" si="39"/>
        <v>208</v>
      </c>
      <c r="G24" s="19">
        <f t="shared" ref="G24:J24" si="40">($J10*G$10)/$J$10</f>
        <v>166</v>
      </c>
      <c r="H24" s="19">
        <f t="shared" si="40"/>
        <v>14</v>
      </c>
      <c r="I24" s="19">
        <f t="shared" si="40"/>
        <v>27</v>
      </c>
      <c r="J24" s="19">
        <f t="shared" si="40"/>
        <v>207</v>
      </c>
      <c r="K24" s="19">
        <f t="shared" ref="K24:N24" si="41">($N10*K$10)/$N$10</f>
        <v>114</v>
      </c>
      <c r="L24" s="19">
        <f t="shared" si="41"/>
        <v>87</v>
      </c>
      <c r="M24" s="19">
        <f t="shared" si="41"/>
        <v>7</v>
      </c>
      <c r="N24" s="19">
        <f t="shared" si="41"/>
        <v>208</v>
      </c>
      <c r="O24" s="19">
        <f t="shared" ref="O24:R24" si="42">($R10*O$10)/$R$10</f>
        <v>152</v>
      </c>
      <c r="P24" s="19">
        <f t="shared" si="42"/>
        <v>31</v>
      </c>
      <c r="Q24" s="19">
        <f t="shared" si="42"/>
        <v>26</v>
      </c>
      <c r="R24" s="19">
        <f t="shared" si="42"/>
        <v>209</v>
      </c>
    </row>
    <row r="26" spans="2:18" x14ac:dyDescent="0.35">
      <c r="B26" s="3" t="s">
        <v>182</v>
      </c>
    </row>
    <row r="27" spans="2:18" x14ac:dyDescent="0.35">
      <c r="C27" s="48" t="s">
        <v>71</v>
      </c>
      <c r="D27" s="48"/>
      <c r="E27" s="41"/>
      <c r="F27" s="25"/>
      <c r="G27" s="48" t="s">
        <v>74</v>
      </c>
      <c r="H27" s="48"/>
      <c r="I27" s="48"/>
      <c r="J27" s="48"/>
      <c r="K27" s="48" t="s">
        <v>178</v>
      </c>
      <c r="L27" s="48"/>
      <c r="M27" s="48"/>
      <c r="N27" s="48"/>
      <c r="O27" s="48" t="s">
        <v>179</v>
      </c>
      <c r="P27" s="48"/>
      <c r="Q27" s="48"/>
      <c r="R27" s="48"/>
    </row>
    <row r="28" spans="2:18" x14ac:dyDescent="0.35">
      <c r="C28" s="17" t="s">
        <v>273</v>
      </c>
      <c r="D28" s="17" t="s">
        <v>274</v>
      </c>
      <c r="E28" s="17" t="s">
        <v>275</v>
      </c>
      <c r="F28" s="20"/>
      <c r="G28" s="17" t="s">
        <v>273</v>
      </c>
      <c r="H28" s="17" t="s">
        <v>274</v>
      </c>
      <c r="I28" s="17" t="s">
        <v>275</v>
      </c>
      <c r="J28" s="20"/>
      <c r="K28" s="17" t="s">
        <v>273</v>
      </c>
      <c r="L28" s="17" t="s">
        <v>274</v>
      </c>
      <c r="M28" s="17" t="s">
        <v>275</v>
      </c>
      <c r="N28" s="20"/>
      <c r="O28" s="17" t="s">
        <v>273</v>
      </c>
      <c r="P28" s="17" t="s">
        <v>274</v>
      </c>
      <c r="Q28" s="17" t="s">
        <v>275</v>
      </c>
      <c r="R28" s="20"/>
    </row>
    <row r="29" spans="2:18" x14ac:dyDescent="0.35">
      <c r="B29" s="6" t="s">
        <v>176</v>
      </c>
      <c r="C29" s="29">
        <f t="shared" ref="C29:C30" si="43">(C8-C22)^2/C22</f>
        <v>1.3455744521318289</v>
      </c>
      <c r="D29" s="29">
        <f t="shared" ref="D29:E29" si="44">(D8-D22)^2/D22</f>
        <v>0.37868055891311692</v>
      </c>
      <c r="E29" s="29">
        <f t="shared" si="44"/>
        <v>1.7916283904655994</v>
      </c>
      <c r="F29" s="29"/>
      <c r="G29" s="29">
        <f>(G8-G22)^2/G22</f>
        <v>1.1403199310105143E-4</v>
      </c>
      <c r="H29" s="29">
        <f t="shared" ref="H29:I29" si="45">(H8-H22)^2/H22</f>
        <v>3.380234081210154E-4</v>
      </c>
      <c r="I29" s="29">
        <f t="shared" si="45"/>
        <v>1.5774425712314049E-3</v>
      </c>
      <c r="J29" s="29"/>
      <c r="K29" s="29">
        <f>(K8-K22)^2/K22</f>
        <v>4.2653689916582866</v>
      </c>
      <c r="L29" s="29">
        <f t="shared" ref="L29:M29" si="46">(L8-L22)^2/L22</f>
        <v>5.0143934066781766</v>
      </c>
      <c r="M29" s="29">
        <f t="shared" si="46"/>
        <v>0.19371358507264558</v>
      </c>
      <c r="N29" s="29"/>
      <c r="O29" s="29">
        <f>(O8-O22)^2/O22</f>
        <v>0.37370347773032292</v>
      </c>
      <c r="P29" s="29">
        <f t="shared" ref="P29:Q29" si="47">(P8-P22)^2/P22</f>
        <v>3.583699945409589</v>
      </c>
      <c r="Q29" s="29">
        <f t="shared" si="47"/>
        <v>0.34693317985440936</v>
      </c>
      <c r="R29" s="21"/>
    </row>
    <row r="30" spans="2:18" x14ac:dyDescent="0.35">
      <c r="B30" s="6" t="s">
        <v>177</v>
      </c>
      <c r="C30" s="29">
        <f t="shared" si="43"/>
        <v>3.3190836485918447</v>
      </c>
      <c r="D30" s="29">
        <f t="shared" ref="D30:E30" si="48">(D9-D23)^2/D23</f>
        <v>0.93407871198568837</v>
      </c>
      <c r="E30" s="29">
        <f t="shared" si="48"/>
        <v>4.4193500298151456</v>
      </c>
      <c r="F30" s="29"/>
      <c r="G30" s="29">
        <f>(G9-G23)^2/G23</f>
        <v>2.7937838309761027E-4</v>
      </c>
      <c r="H30" s="29">
        <f t="shared" ref="H30:I30" si="49">(H9-H23)^2/H23</f>
        <v>8.2815734989648759E-4</v>
      </c>
      <c r="I30" s="29">
        <f t="shared" si="49"/>
        <v>3.8647342995169029E-3</v>
      </c>
      <c r="J30" s="29"/>
      <c r="K30" s="29">
        <f>(K9-K23)^2/K23</f>
        <v>10.771864063679411</v>
      </c>
      <c r="L30" s="29">
        <f t="shared" ref="L30:M30" si="50">(L9-L23)^2/L23</f>
        <v>12.663468094831336</v>
      </c>
      <c r="M30" s="29">
        <f t="shared" si="50"/>
        <v>0.48920888433600301</v>
      </c>
      <c r="N30" s="29"/>
      <c r="O30" s="29">
        <f>(O9-O23)^2/O23</f>
        <v>0.92803030303030409</v>
      </c>
      <c r="P30" s="29">
        <f t="shared" ref="P30:Q30" si="51">(P9-P23)^2/P23</f>
        <v>8.8995215311004792</v>
      </c>
      <c r="Q30" s="29">
        <f t="shared" si="51"/>
        <v>0.86155072997178272</v>
      </c>
      <c r="R30" s="21"/>
    </row>
    <row r="31" spans="2:18" x14ac:dyDescent="0.35">
      <c r="B31" s="3"/>
      <c r="C31" s="21"/>
      <c r="D31" s="21"/>
      <c r="E31" s="21"/>
      <c r="F31" s="21"/>
      <c r="G31" s="21"/>
      <c r="H31" s="21"/>
      <c r="I31" s="21"/>
      <c r="J31" s="21"/>
      <c r="K31" s="21"/>
      <c r="L31" s="21"/>
      <c r="M31" s="21"/>
      <c r="N31" s="21"/>
      <c r="O31" s="21"/>
      <c r="P31" s="21"/>
      <c r="Q31" s="21"/>
      <c r="R31" s="21"/>
    </row>
    <row r="32" spans="2:18" x14ac:dyDescent="0.35">
      <c r="B32" s="3" t="s">
        <v>185</v>
      </c>
      <c r="C32" s="21"/>
      <c r="D32" s="19">
        <v>2</v>
      </c>
      <c r="E32" s="19"/>
      <c r="F32" s="21"/>
      <c r="G32" s="19">
        <f>D32</f>
        <v>2</v>
      </c>
      <c r="H32" s="21"/>
      <c r="I32" s="21"/>
      <c r="J32" s="21"/>
      <c r="K32" s="19">
        <f>D32</f>
        <v>2</v>
      </c>
      <c r="L32" s="21"/>
      <c r="M32" s="21"/>
      <c r="N32" s="21"/>
      <c r="O32" s="19">
        <f>D32</f>
        <v>2</v>
      </c>
      <c r="P32" s="21"/>
      <c r="Q32" s="21"/>
      <c r="R32" s="21"/>
    </row>
    <row r="33" spans="2:18" x14ac:dyDescent="0.35">
      <c r="B33" s="3" t="s">
        <v>183</v>
      </c>
      <c r="D33" s="13">
        <f>C29+C30+D29+D30+E29+E30</f>
        <v>12.188395791903226</v>
      </c>
      <c r="E33" s="13"/>
      <c r="F33" s="13"/>
      <c r="G33" s="13">
        <f>G29+H29+G30+H30+I29+I30</f>
        <v>7.0017680049644718E-3</v>
      </c>
      <c r="H33" s="13"/>
      <c r="I33" s="13"/>
      <c r="J33" s="13"/>
      <c r="K33" s="13">
        <f>K29+L29+K30+L30+M29+M30</f>
        <v>33.398017026255857</v>
      </c>
      <c r="L33" s="13"/>
      <c r="M33" s="13"/>
      <c r="N33" s="13"/>
      <c r="O33" s="13">
        <f>O29+P29+O30+P30+Q29+Q30</f>
        <v>14.993439167096886</v>
      </c>
    </row>
    <row r="34" spans="2:18" x14ac:dyDescent="0.35">
      <c r="B34" s="3" t="s">
        <v>184</v>
      </c>
      <c r="D34" s="42">
        <f>_xlfn.CHISQ.DIST.RT(D33,D32)</f>
        <v>2.2559188968923317E-3</v>
      </c>
      <c r="E34" s="32"/>
      <c r="G34" s="24">
        <f>_xlfn.CHISQ.DIST.RT(G33,G32)</f>
        <v>0.9965052369469225</v>
      </c>
      <c r="K34" s="42">
        <f>_xlfn.CHISQ.DIST.RT(K33,K32)</f>
        <v>5.5938748974327766E-8</v>
      </c>
      <c r="O34" s="42">
        <f>_xlfn.CHISQ.DIST.RT(O33,O32)</f>
        <v>5.5490169637849101E-4</v>
      </c>
    </row>
    <row r="36" spans="2:18" x14ac:dyDescent="0.35">
      <c r="B36" s="36">
        <v>1</v>
      </c>
      <c r="C36" s="3" t="s">
        <v>189</v>
      </c>
      <c r="J36" s="36">
        <v>1</v>
      </c>
      <c r="K36" s="3" t="s">
        <v>189</v>
      </c>
      <c r="O36" s="3" t="s">
        <v>189</v>
      </c>
    </row>
    <row r="37" spans="2:18" x14ac:dyDescent="0.35">
      <c r="D37" s="6" t="s">
        <v>273</v>
      </c>
      <c r="E37" s="6" t="s">
        <v>274</v>
      </c>
      <c r="F37" s="6" t="s">
        <v>180</v>
      </c>
      <c r="L37" s="6" t="s">
        <v>273</v>
      </c>
      <c r="M37" s="6" t="s">
        <v>274</v>
      </c>
      <c r="N37" s="6" t="s">
        <v>180</v>
      </c>
      <c r="P37" s="6" t="s">
        <v>273</v>
      </c>
      <c r="Q37" s="6" t="s">
        <v>274</v>
      </c>
      <c r="R37" s="6" t="s">
        <v>180</v>
      </c>
    </row>
    <row r="38" spans="2:18" x14ac:dyDescent="0.35">
      <c r="C38" s="6" t="s">
        <v>176</v>
      </c>
      <c r="D38">
        <f>C8</f>
        <v>76</v>
      </c>
      <c r="E38">
        <f>D8</f>
        <v>34</v>
      </c>
      <c r="F38">
        <f>SUM(D38:E38)</f>
        <v>110</v>
      </c>
      <c r="K38" s="6" t="s">
        <v>176</v>
      </c>
      <c r="L38">
        <f>K8</f>
        <v>63</v>
      </c>
      <c r="M38">
        <f>L8</f>
        <v>80</v>
      </c>
      <c r="N38">
        <f>SUM(L38:M38)</f>
        <v>143</v>
      </c>
      <c r="O38" s="6" t="s">
        <v>176</v>
      </c>
      <c r="P38">
        <f>O8</f>
        <v>102</v>
      </c>
      <c r="Q38">
        <f>P8</f>
        <v>31</v>
      </c>
      <c r="R38">
        <f>SUM(P38:Q38)</f>
        <v>133</v>
      </c>
    </row>
    <row r="39" spans="2:18" x14ac:dyDescent="0.35">
      <c r="C39" s="6" t="s">
        <v>177</v>
      </c>
      <c r="D39">
        <f>C9</f>
        <v>46</v>
      </c>
      <c r="E39">
        <f>D9</f>
        <v>9</v>
      </c>
      <c r="F39">
        <f>SUM(D39:E39)</f>
        <v>55</v>
      </c>
      <c r="K39" s="6" t="s">
        <v>177</v>
      </c>
      <c r="L39">
        <f>K9</f>
        <v>51</v>
      </c>
      <c r="M39">
        <f>L9</f>
        <v>7</v>
      </c>
      <c r="N39">
        <f>SUM(L39:M39)</f>
        <v>58</v>
      </c>
      <c r="O39" s="6" t="s">
        <v>177</v>
      </c>
      <c r="P39">
        <f>O9</f>
        <v>50</v>
      </c>
      <c r="Q39">
        <f>P9</f>
        <v>0</v>
      </c>
      <c r="R39">
        <f>SUM(P39:Q39)</f>
        <v>50</v>
      </c>
    </row>
    <row r="40" spans="2:18" x14ac:dyDescent="0.35">
      <c r="C40" t="s">
        <v>180</v>
      </c>
      <c r="D40">
        <f>SUM(D38:D39)</f>
        <v>122</v>
      </c>
      <c r="E40">
        <f t="shared" ref="E40:F40" si="52">SUM(E38:E39)</f>
        <v>43</v>
      </c>
      <c r="F40">
        <f t="shared" si="52"/>
        <v>165</v>
      </c>
      <c r="K40" t="s">
        <v>180</v>
      </c>
      <c r="L40">
        <f>SUM(L38:L39)</f>
        <v>114</v>
      </c>
      <c r="M40">
        <f t="shared" ref="M40:N40" si="53">SUM(M38:M39)</f>
        <v>87</v>
      </c>
      <c r="N40">
        <f t="shared" si="53"/>
        <v>201</v>
      </c>
      <c r="O40" t="s">
        <v>180</v>
      </c>
      <c r="P40">
        <f>SUM(P38:P39)</f>
        <v>152</v>
      </c>
      <c r="Q40">
        <f t="shared" ref="Q40:R40" si="54">SUM(Q38:Q39)</f>
        <v>31</v>
      </c>
      <c r="R40">
        <f t="shared" si="54"/>
        <v>183</v>
      </c>
    </row>
    <row r="42" spans="2:18" x14ac:dyDescent="0.35">
      <c r="C42" s="3" t="s">
        <v>181</v>
      </c>
      <c r="K42" s="3" t="s">
        <v>181</v>
      </c>
      <c r="O42" s="3" t="s">
        <v>181</v>
      </c>
    </row>
    <row r="43" spans="2:18" x14ac:dyDescent="0.35">
      <c r="D43" s="6" t="s">
        <v>273</v>
      </c>
      <c r="E43" s="6" t="s">
        <v>274</v>
      </c>
      <c r="F43" s="6" t="s">
        <v>180</v>
      </c>
      <c r="L43" s="6" t="s">
        <v>273</v>
      </c>
      <c r="M43" s="6" t="s">
        <v>274</v>
      </c>
      <c r="N43" s="6" t="s">
        <v>180</v>
      </c>
      <c r="P43" s="6" t="s">
        <v>273</v>
      </c>
      <c r="Q43" s="6" t="s">
        <v>274</v>
      </c>
      <c r="R43" s="6" t="s">
        <v>180</v>
      </c>
    </row>
    <row r="44" spans="2:18" x14ac:dyDescent="0.35">
      <c r="C44" s="6" t="s">
        <v>176</v>
      </c>
      <c r="D44" s="19">
        <f>($F38*D$40)/$F$40</f>
        <v>81.333333333333329</v>
      </c>
      <c r="E44" s="19">
        <f t="shared" ref="E44:F44" si="55">($F38*E$40)/$F$40</f>
        <v>28.666666666666668</v>
      </c>
      <c r="F44" s="19">
        <f t="shared" si="55"/>
        <v>110</v>
      </c>
      <c r="K44" s="6" t="s">
        <v>176</v>
      </c>
      <c r="L44" s="19">
        <f>($N38*L$40)/$N$40</f>
        <v>81.104477611940297</v>
      </c>
      <c r="M44" s="19">
        <f t="shared" ref="M44:N44" si="56">($N38*M$40)/$N$40</f>
        <v>61.895522388059703</v>
      </c>
      <c r="N44" s="19">
        <f t="shared" si="56"/>
        <v>143</v>
      </c>
      <c r="O44" s="6" t="s">
        <v>176</v>
      </c>
      <c r="P44" s="19">
        <f>($R38*P$40)/$R$40</f>
        <v>110.46994535519126</v>
      </c>
      <c r="Q44" s="19">
        <f t="shared" ref="Q44:R44" si="57">($R38*Q$40)/$R$40</f>
        <v>22.530054644808743</v>
      </c>
      <c r="R44" s="19">
        <f t="shared" si="57"/>
        <v>133</v>
      </c>
    </row>
    <row r="45" spans="2:18" x14ac:dyDescent="0.35">
      <c r="C45" s="6" t="s">
        <v>177</v>
      </c>
      <c r="D45" s="19">
        <f t="shared" ref="D45:F46" si="58">($F39*D$40)/$F$40</f>
        <v>40.666666666666664</v>
      </c>
      <c r="E45" s="19">
        <f t="shared" si="58"/>
        <v>14.333333333333334</v>
      </c>
      <c r="F45" s="19">
        <f t="shared" si="58"/>
        <v>55</v>
      </c>
      <c r="K45" s="6" t="s">
        <v>177</v>
      </c>
      <c r="L45" s="19">
        <f t="shared" ref="L45:N46" si="59">($N39*L$40)/$N$40</f>
        <v>32.895522388059703</v>
      </c>
      <c r="M45" s="19">
        <f t="shared" si="59"/>
        <v>25.104477611940297</v>
      </c>
      <c r="N45" s="19">
        <f t="shared" si="59"/>
        <v>58</v>
      </c>
      <c r="O45" s="6" t="s">
        <v>177</v>
      </c>
      <c r="P45" s="19">
        <f t="shared" ref="P45:R46" si="60">($R39*P$40)/$R$40</f>
        <v>41.530054644808743</v>
      </c>
      <c r="Q45" s="19">
        <f t="shared" si="60"/>
        <v>8.4699453551912569</v>
      </c>
      <c r="R45" s="19">
        <f t="shared" si="60"/>
        <v>50</v>
      </c>
    </row>
    <row r="46" spans="2:18" x14ac:dyDescent="0.35">
      <c r="C46" t="s">
        <v>180</v>
      </c>
      <c r="D46" s="19">
        <f t="shared" si="58"/>
        <v>122</v>
      </c>
      <c r="E46" s="19">
        <f t="shared" si="58"/>
        <v>43</v>
      </c>
      <c r="F46" s="19">
        <f t="shared" si="58"/>
        <v>165</v>
      </c>
      <c r="K46" t="s">
        <v>180</v>
      </c>
      <c r="L46" s="19">
        <f t="shared" si="59"/>
        <v>114</v>
      </c>
      <c r="M46" s="19">
        <f t="shared" si="59"/>
        <v>87</v>
      </c>
      <c r="N46" s="19">
        <f t="shared" si="59"/>
        <v>201</v>
      </c>
      <c r="O46" t="s">
        <v>180</v>
      </c>
      <c r="P46" s="19">
        <f t="shared" si="60"/>
        <v>152</v>
      </c>
      <c r="Q46" s="19">
        <f t="shared" si="60"/>
        <v>31</v>
      </c>
      <c r="R46" s="19">
        <f t="shared" si="60"/>
        <v>183</v>
      </c>
    </row>
    <row r="48" spans="2:18" x14ac:dyDescent="0.35">
      <c r="C48" s="3" t="s">
        <v>182</v>
      </c>
      <c r="K48" s="3" t="s">
        <v>182</v>
      </c>
      <c r="O48" s="3" t="s">
        <v>182</v>
      </c>
    </row>
    <row r="49" spans="2:18" x14ac:dyDescent="0.35">
      <c r="D49" s="48" t="s">
        <v>74</v>
      </c>
      <c r="E49" s="48"/>
      <c r="F49" s="41"/>
      <c r="L49" s="48" t="s">
        <v>74</v>
      </c>
      <c r="M49" s="48"/>
      <c r="N49" s="41"/>
      <c r="P49" s="48" t="s">
        <v>74</v>
      </c>
      <c r="Q49" s="48"/>
      <c r="R49" s="41"/>
    </row>
    <row r="50" spans="2:18" x14ac:dyDescent="0.35">
      <c r="D50" s="17" t="s">
        <v>273</v>
      </c>
      <c r="E50" s="17" t="s">
        <v>274</v>
      </c>
      <c r="F50" s="17"/>
      <c r="L50" s="17" t="s">
        <v>273</v>
      </c>
      <c r="M50" s="17" t="s">
        <v>274</v>
      </c>
      <c r="N50" s="17"/>
      <c r="P50" s="17" t="s">
        <v>273</v>
      </c>
      <c r="Q50" s="17" t="s">
        <v>274</v>
      </c>
      <c r="R50" s="17"/>
    </row>
    <row r="51" spans="2:18" x14ac:dyDescent="0.35">
      <c r="C51" s="6" t="s">
        <v>176</v>
      </c>
      <c r="D51" s="29">
        <f>(D38-D44)^2/D44</f>
        <v>0.34972677595628354</v>
      </c>
      <c r="E51" s="29">
        <f>(E38-E44)^2/E44</f>
        <v>0.99224806201550342</v>
      </c>
      <c r="F51" s="29"/>
      <c r="K51" s="6" t="s">
        <v>176</v>
      </c>
      <c r="L51" s="29">
        <f>(L38-L44)^2/L44</f>
        <v>4.0413565225034187</v>
      </c>
      <c r="M51" s="29">
        <f>(M38-M44)^2/M44</f>
        <v>5.2955706156941353</v>
      </c>
      <c r="N51" s="29"/>
      <c r="O51" s="6" t="s">
        <v>176</v>
      </c>
      <c r="P51" s="29">
        <f>(P38-P44)^2/P44</f>
        <v>0.64940716761705819</v>
      </c>
      <c r="Q51" s="29">
        <f>(Q38-Q44)^2/Q44</f>
        <v>3.1841899831546079</v>
      </c>
      <c r="R51" s="29"/>
    </row>
    <row r="52" spans="2:18" x14ac:dyDescent="0.35">
      <c r="C52" s="6" t="s">
        <v>177</v>
      </c>
      <c r="D52" s="29">
        <f>(D39-D45)^2/D45</f>
        <v>0.69945355191256897</v>
      </c>
      <c r="E52" s="29">
        <f>(E39-E45)^2/E45</f>
        <v>1.9844961240310079</v>
      </c>
      <c r="F52" s="29"/>
      <c r="K52" s="6" t="s">
        <v>177</v>
      </c>
      <c r="L52" s="29">
        <f>(L39-L45)^2/L45</f>
        <v>9.9640341847929115</v>
      </c>
      <c r="M52" s="29">
        <f>(M39-M45)^2/M45</f>
        <v>13.056320655935542</v>
      </c>
      <c r="N52" s="29"/>
      <c r="O52" s="6" t="s">
        <v>177</v>
      </c>
      <c r="P52" s="29">
        <f>(P39-P45)^2/P45</f>
        <v>1.7274230658613747</v>
      </c>
      <c r="Q52" s="29">
        <f>(Q39-Q45)^2/Q45</f>
        <v>8.4699453551912569</v>
      </c>
      <c r="R52" s="29"/>
    </row>
    <row r="54" spans="2:18" x14ac:dyDescent="0.35">
      <c r="C54" s="3" t="s">
        <v>185</v>
      </c>
      <c r="D54" s="21"/>
      <c r="E54" s="19">
        <v>1</v>
      </c>
      <c r="K54" s="3" t="s">
        <v>185</v>
      </c>
      <c r="L54" s="21"/>
      <c r="M54" s="19">
        <v>1</v>
      </c>
      <c r="O54" s="3" t="s">
        <v>185</v>
      </c>
      <c r="P54" s="21"/>
      <c r="Q54" s="19">
        <v>1</v>
      </c>
    </row>
    <row r="55" spans="2:18" x14ac:dyDescent="0.35">
      <c r="C55" s="3" t="s">
        <v>183</v>
      </c>
      <c r="E55" s="13">
        <f>D51+D52+E51+E52</f>
        <v>4.0259245139153634</v>
      </c>
      <c r="K55" s="3" t="s">
        <v>183</v>
      </c>
      <c r="M55" s="13">
        <f>L51+L52+M51+M52</f>
        <v>32.357281978926011</v>
      </c>
      <c r="O55" s="3" t="s">
        <v>183</v>
      </c>
      <c r="Q55" s="13">
        <f>P51+P52+Q51+Q52</f>
        <v>14.030965571824298</v>
      </c>
    </row>
    <row r="56" spans="2:18" x14ac:dyDescent="0.35">
      <c r="C56" s="3" t="s">
        <v>184</v>
      </c>
      <c r="E56" s="24">
        <f>_xlfn.CHISQ.DIST.RT(E55,E54)</f>
        <v>4.480605593434181E-2</v>
      </c>
      <c r="K56" s="3" t="s">
        <v>184</v>
      </c>
      <c r="M56" s="42">
        <f>_xlfn.CHISQ.DIST.RT(M55,M54)</f>
        <v>1.2827560085642106E-8</v>
      </c>
      <c r="O56" s="3" t="s">
        <v>184</v>
      </c>
      <c r="Q56" s="42">
        <f>_xlfn.CHISQ.DIST.RT(Q55,Q54)</f>
        <v>1.7982479151981045E-4</v>
      </c>
    </row>
    <row r="58" spans="2:18" x14ac:dyDescent="0.35">
      <c r="B58" s="36">
        <v>2</v>
      </c>
      <c r="C58" s="3" t="s">
        <v>189</v>
      </c>
      <c r="J58" s="36">
        <v>2</v>
      </c>
      <c r="K58" s="3" t="s">
        <v>189</v>
      </c>
      <c r="O58" s="3" t="s">
        <v>189</v>
      </c>
    </row>
    <row r="59" spans="2:18" x14ac:dyDescent="0.35">
      <c r="D59" s="6" t="s">
        <v>273</v>
      </c>
      <c r="E59" s="6" t="s">
        <v>275</v>
      </c>
      <c r="F59" s="6" t="s">
        <v>180</v>
      </c>
      <c r="L59" s="6" t="s">
        <v>273</v>
      </c>
      <c r="M59" s="6" t="s">
        <v>275</v>
      </c>
      <c r="N59" s="6" t="s">
        <v>180</v>
      </c>
      <c r="P59" s="6" t="s">
        <v>273</v>
      </c>
      <c r="Q59" s="6" t="s">
        <v>275</v>
      </c>
      <c r="R59" s="6" t="s">
        <v>180</v>
      </c>
    </row>
    <row r="60" spans="2:18" x14ac:dyDescent="0.35">
      <c r="C60" s="6" t="s">
        <v>176</v>
      </c>
      <c r="D60">
        <f>C8</f>
        <v>76</v>
      </c>
      <c r="E60">
        <f>E8</f>
        <v>38</v>
      </c>
      <c r="F60">
        <f>SUM(D60:E60)</f>
        <v>114</v>
      </c>
      <c r="K60" s="6" t="s">
        <v>176</v>
      </c>
      <c r="L60">
        <f>K8</f>
        <v>63</v>
      </c>
      <c r="M60">
        <f>M8</f>
        <v>6</v>
      </c>
      <c r="N60">
        <f>SUM(L60:M60)</f>
        <v>69</v>
      </c>
      <c r="O60" s="6" t="s">
        <v>176</v>
      </c>
      <c r="P60">
        <f>O8</f>
        <v>102</v>
      </c>
      <c r="Q60">
        <f>Q8</f>
        <v>16</v>
      </c>
      <c r="R60">
        <f>SUM(P60:Q60)</f>
        <v>118</v>
      </c>
    </row>
    <row r="61" spans="2:18" x14ac:dyDescent="0.35">
      <c r="C61" s="6" t="s">
        <v>177</v>
      </c>
      <c r="D61">
        <f>C9</f>
        <v>46</v>
      </c>
      <c r="E61">
        <f>E9</f>
        <v>5</v>
      </c>
      <c r="F61">
        <f t="shared" ref="F61" si="61">SUM(D61:E61)</f>
        <v>51</v>
      </c>
      <c r="K61" s="6" t="s">
        <v>177</v>
      </c>
      <c r="L61">
        <f>K9</f>
        <v>51</v>
      </c>
      <c r="M61">
        <f>M9</f>
        <v>1</v>
      </c>
      <c r="N61">
        <f t="shared" ref="N61" si="62">SUM(L61:M61)</f>
        <v>52</v>
      </c>
      <c r="O61" s="6" t="s">
        <v>177</v>
      </c>
      <c r="P61">
        <f>O9</f>
        <v>50</v>
      </c>
      <c r="Q61">
        <f>Q9</f>
        <v>10</v>
      </c>
      <c r="R61">
        <f t="shared" ref="R61" si="63">SUM(P61:Q61)</f>
        <v>60</v>
      </c>
    </row>
    <row r="62" spans="2:18" x14ac:dyDescent="0.35">
      <c r="C62" t="s">
        <v>180</v>
      </c>
      <c r="D62">
        <f>SUM(D60:D61)</f>
        <v>122</v>
      </c>
      <c r="E62">
        <f>SUM(E60:E61)</f>
        <v>43</v>
      </c>
      <c r="F62">
        <f>SUM(F60:F61)</f>
        <v>165</v>
      </c>
      <c r="K62" t="s">
        <v>180</v>
      </c>
      <c r="L62">
        <f>SUM(L60:L61)</f>
        <v>114</v>
      </c>
      <c r="M62">
        <f>SUM(M60:M61)</f>
        <v>7</v>
      </c>
      <c r="N62">
        <f>SUM(N60:N61)</f>
        <v>121</v>
      </c>
      <c r="O62" t="s">
        <v>180</v>
      </c>
      <c r="P62">
        <f>SUM(P60:P61)</f>
        <v>152</v>
      </c>
      <c r="Q62">
        <f>SUM(Q60:Q61)</f>
        <v>26</v>
      </c>
      <c r="R62">
        <f>SUM(R60:R61)</f>
        <v>178</v>
      </c>
    </row>
    <row r="64" spans="2:18" x14ac:dyDescent="0.35">
      <c r="C64" s="3" t="s">
        <v>181</v>
      </c>
      <c r="K64" s="3" t="s">
        <v>181</v>
      </c>
      <c r="O64" s="3" t="s">
        <v>181</v>
      </c>
    </row>
    <row r="65" spans="3:18" x14ac:dyDescent="0.35">
      <c r="D65" s="6" t="s">
        <v>273</v>
      </c>
      <c r="E65" s="6" t="s">
        <v>275</v>
      </c>
      <c r="F65" s="6" t="s">
        <v>180</v>
      </c>
      <c r="L65" s="6" t="s">
        <v>273</v>
      </c>
      <c r="M65" s="6" t="s">
        <v>275</v>
      </c>
      <c r="N65" s="6" t="s">
        <v>180</v>
      </c>
      <c r="P65" s="6" t="s">
        <v>273</v>
      </c>
      <c r="Q65" s="6" t="s">
        <v>275</v>
      </c>
      <c r="R65" s="6" t="s">
        <v>180</v>
      </c>
    </row>
    <row r="66" spans="3:18" x14ac:dyDescent="0.35">
      <c r="C66" s="6" t="s">
        <v>176</v>
      </c>
      <c r="D66" s="2">
        <f>($F60*D$62)/$F$62</f>
        <v>84.290909090909096</v>
      </c>
      <c r="E66" s="2">
        <f t="shared" ref="E66:F66" si="64">($F60*E$62)/$F$62</f>
        <v>29.709090909090911</v>
      </c>
      <c r="F66" s="2">
        <f t="shared" si="64"/>
        <v>114</v>
      </c>
      <c r="K66" s="6" t="s">
        <v>176</v>
      </c>
      <c r="L66" s="2">
        <f>($N60*L$62)/$N$62</f>
        <v>65.008264462809919</v>
      </c>
      <c r="M66" s="2">
        <f t="shared" ref="M66:N66" si="65">($N60*M$62)/$N$62</f>
        <v>3.9917355371900825</v>
      </c>
      <c r="N66" s="2">
        <f t="shared" si="65"/>
        <v>69</v>
      </c>
      <c r="O66" s="6" t="s">
        <v>176</v>
      </c>
      <c r="P66" s="2">
        <f>($R60*P$62)/$R$62</f>
        <v>100.76404494382022</v>
      </c>
      <c r="Q66" s="2">
        <f t="shared" ref="Q66:R66" si="66">($R60*Q$62)/$R$62</f>
        <v>17.235955056179776</v>
      </c>
      <c r="R66" s="2">
        <f t="shared" si="66"/>
        <v>118</v>
      </c>
    </row>
    <row r="67" spans="3:18" x14ac:dyDescent="0.35">
      <c r="C67" s="6" t="s">
        <v>177</v>
      </c>
      <c r="D67" s="2">
        <f t="shared" ref="D67:F68" si="67">($F61*D$62)/$F$62</f>
        <v>37.709090909090911</v>
      </c>
      <c r="E67" s="2">
        <f t="shared" si="67"/>
        <v>13.290909090909091</v>
      </c>
      <c r="F67" s="2">
        <f t="shared" si="67"/>
        <v>51</v>
      </c>
      <c r="K67" s="6" t="s">
        <v>177</v>
      </c>
      <c r="L67" s="2">
        <f t="shared" ref="L67:N68" si="68">($N61*L$62)/$N$62</f>
        <v>48.991735537190081</v>
      </c>
      <c r="M67" s="2">
        <f t="shared" si="68"/>
        <v>3.0082644628099175</v>
      </c>
      <c r="N67" s="2">
        <f t="shared" si="68"/>
        <v>52</v>
      </c>
      <c r="O67" s="6" t="s">
        <v>177</v>
      </c>
      <c r="P67" s="2">
        <f t="shared" ref="P67:R68" si="69">($R61*P$62)/$R$62</f>
        <v>51.235955056179776</v>
      </c>
      <c r="Q67" s="2">
        <f t="shared" si="69"/>
        <v>8.7640449438202239</v>
      </c>
      <c r="R67" s="2">
        <f t="shared" si="69"/>
        <v>60</v>
      </c>
    </row>
    <row r="68" spans="3:18" x14ac:dyDescent="0.35">
      <c r="C68" t="s">
        <v>180</v>
      </c>
      <c r="D68" s="2">
        <f t="shared" si="67"/>
        <v>122</v>
      </c>
      <c r="E68" s="2">
        <f t="shared" si="67"/>
        <v>43</v>
      </c>
      <c r="F68" s="2">
        <f t="shared" si="67"/>
        <v>165</v>
      </c>
      <c r="K68" t="s">
        <v>180</v>
      </c>
      <c r="L68" s="2">
        <f t="shared" si="68"/>
        <v>114</v>
      </c>
      <c r="M68" s="2">
        <f t="shared" si="68"/>
        <v>7</v>
      </c>
      <c r="N68" s="2">
        <f t="shared" si="68"/>
        <v>121</v>
      </c>
      <c r="O68" t="s">
        <v>180</v>
      </c>
      <c r="P68" s="2">
        <f t="shared" si="69"/>
        <v>152</v>
      </c>
      <c r="Q68" s="2">
        <f t="shared" si="69"/>
        <v>26</v>
      </c>
      <c r="R68" s="2">
        <f t="shared" si="69"/>
        <v>178</v>
      </c>
    </row>
    <row r="70" spans="3:18" x14ac:dyDescent="0.35">
      <c r="C70" s="3" t="s">
        <v>182</v>
      </c>
      <c r="K70" s="3" t="s">
        <v>182</v>
      </c>
      <c r="O70" s="3" t="s">
        <v>182</v>
      </c>
    </row>
    <row r="71" spans="3:18" x14ac:dyDescent="0.35">
      <c r="D71" s="48" t="s">
        <v>71</v>
      </c>
      <c r="E71" s="48"/>
      <c r="F71" s="41"/>
      <c r="L71" s="48" t="s">
        <v>178</v>
      </c>
      <c r="M71" s="48"/>
      <c r="N71" s="41"/>
      <c r="P71" s="48" t="s">
        <v>276</v>
      </c>
      <c r="Q71" s="48"/>
      <c r="R71" s="41"/>
    </row>
    <row r="72" spans="3:18" x14ac:dyDescent="0.35">
      <c r="D72" s="17" t="s">
        <v>273</v>
      </c>
      <c r="E72" s="6" t="s">
        <v>275</v>
      </c>
      <c r="F72" s="17"/>
      <c r="L72" s="17" t="s">
        <v>273</v>
      </c>
      <c r="M72" s="6" t="s">
        <v>275</v>
      </c>
      <c r="N72" s="17"/>
      <c r="P72" s="17" t="s">
        <v>273</v>
      </c>
      <c r="Q72" s="6" t="s">
        <v>275</v>
      </c>
      <c r="R72" s="17"/>
    </row>
    <row r="73" spans="3:18" x14ac:dyDescent="0.35">
      <c r="C73" s="6" t="s">
        <v>176</v>
      </c>
      <c r="D73" s="29">
        <f>(D60-D66)^2/D66</f>
        <v>0.81549925484351815</v>
      </c>
      <c r="E73" s="29">
        <f>(E60-E66)^2/E66</f>
        <v>2.313742071881606</v>
      </c>
      <c r="F73" s="29"/>
      <c r="K73" s="6" t="s">
        <v>176</v>
      </c>
      <c r="L73" s="29">
        <f>(L60-L66)^2/L66</f>
        <v>6.2040206517011275E-2</v>
      </c>
      <c r="M73" s="29">
        <f>(M60-M66)^2/M66</f>
        <v>1.0103690775627538</v>
      </c>
      <c r="N73" s="29"/>
      <c r="O73" s="6" t="s">
        <v>176</v>
      </c>
      <c r="P73" s="29">
        <f>(P60-P66)^2/P66</f>
        <v>1.5160019645380848E-2</v>
      </c>
      <c r="Q73" s="29">
        <f>(Q60-Q66)^2/Q66</f>
        <v>8.8627807157611108E-2</v>
      </c>
      <c r="R73" s="29"/>
    </row>
    <row r="74" spans="3:18" x14ac:dyDescent="0.35">
      <c r="C74" s="6" t="s">
        <v>177</v>
      </c>
      <c r="D74" s="29">
        <f>(D61-D67)^2/D67</f>
        <v>1.8228806872972729</v>
      </c>
      <c r="E74" s="29">
        <f>(E61-E67)^2/E67</f>
        <v>5.1718940430294742</v>
      </c>
      <c r="F74" s="29"/>
      <c r="K74" s="6" t="s">
        <v>177</v>
      </c>
      <c r="L74" s="29">
        <f>(L61-L67)^2/L67</f>
        <v>8.2322581724495733E-2</v>
      </c>
      <c r="M74" s="29">
        <f>(M61-M67)^2/M67</f>
        <v>1.3406820452275001</v>
      </c>
      <c r="N74" s="29"/>
      <c r="O74" s="6" t="s">
        <v>177</v>
      </c>
      <c r="P74" s="29">
        <f>(P61-P67)^2/P67</f>
        <v>2.9814705302582335E-2</v>
      </c>
      <c r="Q74" s="29">
        <f>(Q61-Q67)^2/Q67</f>
        <v>0.17430135407663522</v>
      </c>
      <c r="R74" s="29"/>
    </row>
    <row r="76" spans="3:18" x14ac:dyDescent="0.35">
      <c r="C76" s="3" t="s">
        <v>185</v>
      </c>
      <c r="D76" s="21"/>
      <c r="E76" s="19">
        <v>1</v>
      </c>
      <c r="K76" s="3" t="s">
        <v>185</v>
      </c>
      <c r="L76" s="21"/>
      <c r="M76" s="19">
        <v>1</v>
      </c>
      <c r="O76" s="3" t="s">
        <v>185</v>
      </c>
      <c r="P76" s="21"/>
      <c r="Q76" s="19">
        <v>1</v>
      </c>
    </row>
    <row r="77" spans="3:18" x14ac:dyDescent="0.35">
      <c r="C77" s="3" t="s">
        <v>183</v>
      </c>
      <c r="E77" s="13">
        <f>D73+D74+E73+E74</f>
        <v>10.124016057051872</v>
      </c>
      <c r="K77" s="3" t="s">
        <v>183</v>
      </c>
      <c r="M77" s="13">
        <f>L73+L74+M73+M74</f>
        <v>2.4954139110317612</v>
      </c>
      <c r="O77" s="3" t="s">
        <v>183</v>
      </c>
      <c r="Q77" s="13">
        <f>P73+P74+Q73+Q74</f>
        <v>0.30790388618220954</v>
      </c>
    </row>
    <row r="78" spans="3:18" x14ac:dyDescent="0.35">
      <c r="C78" s="3" t="s">
        <v>184</v>
      </c>
      <c r="E78" s="42">
        <f>_xlfn.CHISQ.DIST.RT(E77,E76)</f>
        <v>1.4634976460385116E-3</v>
      </c>
      <c r="K78" s="3" t="s">
        <v>184</v>
      </c>
      <c r="M78" s="24">
        <f>_xlfn.CHISQ.DIST.RT(M77,M76)</f>
        <v>0.11417835439719606</v>
      </c>
      <c r="O78" s="3" t="s">
        <v>184</v>
      </c>
      <c r="Q78" s="24">
        <f>_xlfn.CHISQ.DIST.RT(Q77,Q76)</f>
        <v>0.57896930185659101</v>
      </c>
    </row>
  </sheetData>
  <mergeCells count="22">
    <mergeCell ref="D49:E49"/>
    <mergeCell ref="D71:E71"/>
    <mergeCell ref="L49:M49"/>
    <mergeCell ref="L71:M71"/>
    <mergeCell ref="P49:Q49"/>
    <mergeCell ref="P71:Q71"/>
    <mergeCell ref="C6:D6"/>
    <mergeCell ref="G6:J6"/>
    <mergeCell ref="K6:N6"/>
    <mergeCell ref="O6:R6"/>
    <mergeCell ref="C13:D13"/>
    <mergeCell ref="G13:J13"/>
    <mergeCell ref="K13:N13"/>
    <mergeCell ref="O13:R13"/>
    <mergeCell ref="C20:D20"/>
    <mergeCell ref="G20:J20"/>
    <mergeCell ref="K20:N20"/>
    <mergeCell ref="O20:R20"/>
    <mergeCell ref="C27:D27"/>
    <mergeCell ref="G27:J27"/>
    <mergeCell ref="K27:N27"/>
    <mergeCell ref="O27:R27"/>
  </mergeCells>
  <pageMargins left="0.7" right="0.7" top="0.75" bottom="0.75" header="0.3" footer="0.3"/>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2"/>
  <sheetViews>
    <sheetView workbookViewId="0">
      <pane ySplit="1" topLeftCell="A41" activePane="bottomLeft" state="frozen"/>
      <selection pane="bottomLeft" activeCell="P61" sqref="P2:P61"/>
    </sheetView>
  </sheetViews>
  <sheetFormatPr defaultRowHeight="14.5" x14ac:dyDescent="0.35"/>
  <cols>
    <col min="1" max="1" width="10.7265625" bestFit="1" customWidth="1"/>
    <col min="2" max="2" width="8.1796875" bestFit="1" customWidth="1"/>
    <col min="3" max="3" width="10.453125" bestFit="1" customWidth="1"/>
    <col min="4" max="5" width="11.54296875" bestFit="1" customWidth="1"/>
    <col min="6" max="6" width="9" bestFit="1" customWidth="1"/>
    <col min="7" max="7" width="12.1796875" bestFit="1" customWidth="1"/>
    <col min="8" max="8" width="9.26953125" bestFit="1" customWidth="1"/>
    <col min="9" max="9" width="12.453125" style="13" bestFit="1" customWidth="1"/>
    <col min="10" max="10" width="16.1796875" bestFit="1" customWidth="1"/>
    <col min="11" max="11" width="11.453125" style="2" bestFit="1" customWidth="1"/>
    <col min="12" max="12" width="12.26953125" bestFit="1" customWidth="1"/>
    <col min="13" max="13" width="12.26953125" customWidth="1"/>
    <col min="14" max="14" width="9.26953125" bestFit="1" customWidth="1"/>
    <col min="15" max="15" width="10.1796875" bestFit="1" customWidth="1"/>
    <col min="16" max="16" width="10.1796875" customWidth="1"/>
    <col min="17" max="17" width="17.26953125" bestFit="1" customWidth="1"/>
    <col min="18" max="18" width="18.1796875" bestFit="1" customWidth="1"/>
    <col min="19" max="19" width="18.1796875" customWidth="1"/>
    <col min="20" max="20" width="8.1796875" bestFit="1" customWidth="1"/>
    <col min="21" max="21" width="9" bestFit="1" customWidth="1"/>
    <col min="22" max="22" width="9" customWidth="1"/>
    <col min="23" max="23" width="16.453125" customWidth="1"/>
    <col min="24" max="25" width="17.453125" customWidth="1"/>
    <col min="26" max="26" width="14.54296875" style="2" customWidth="1"/>
    <col min="27" max="27" width="7.7265625" style="2" bestFit="1" customWidth="1"/>
    <col min="28" max="28" width="6.453125" style="2" bestFit="1" customWidth="1"/>
    <col min="29" max="29" width="5.26953125" style="2" bestFit="1" customWidth="1"/>
    <col min="30" max="30" width="10.81640625" style="2" bestFit="1" customWidth="1"/>
    <col min="31" max="31" width="10.453125" style="2" bestFit="1" customWidth="1"/>
    <col min="32" max="32" width="9" style="2" bestFit="1" customWidth="1"/>
    <col min="33" max="33" width="7.7265625" style="2" bestFit="1" customWidth="1"/>
    <col min="34" max="34" width="5.81640625" style="2" bestFit="1" customWidth="1"/>
    <col min="35" max="35" width="7.54296875" style="2" bestFit="1" customWidth="1"/>
    <col min="36" max="36" width="4.54296875" style="2" bestFit="1" customWidth="1"/>
    <col min="37" max="37" width="7.7265625" style="2" bestFit="1" customWidth="1"/>
    <col min="38" max="38" width="17.453125" bestFit="1" customWidth="1"/>
    <col min="39" max="39" width="12.1796875" bestFit="1" customWidth="1"/>
  </cols>
  <sheetData>
    <row r="1" spans="1:39" x14ac:dyDescent="0.35">
      <c r="A1" s="3" t="s">
        <v>171</v>
      </c>
      <c r="B1" s="3" t="s">
        <v>0</v>
      </c>
      <c r="C1" s="14" t="s">
        <v>170</v>
      </c>
      <c r="D1" s="14" t="s">
        <v>172</v>
      </c>
      <c r="E1" s="3" t="s">
        <v>161</v>
      </c>
      <c r="F1" s="3" t="s">
        <v>49</v>
      </c>
      <c r="G1" s="3" t="s">
        <v>129</v>
      </c>
      <c r="H1" s="3" t="s">
        <v>131</v>
      </c>
      <c r="I1" s="15" t="s">
        <v>132</v>
      </c>
      <c r="J1" s="3" t="s">
        <v>2</v>
      </c>
      <c r="K1" s="4" t="s">
        <v>143</v>
      </c>
      <c r="L1" s="3" t="s">
        <v>144</v>
      </c>
      <c r="M1" s="3" t="s">
        <v>145</v>
      </c>
      <c r="N1" s="3" t="s">
        <v>147</v>
      </c>
      <c r="O1" s="3" t="s">
        <v>148</v>
      </c>
      <c r="P1" s="3" t="s">
        <v>149</v>
      </c>
      <c r="Q1" s="3" t="s">
        <v>151</v>
      </c>
      <c r="R1" s="3" t="s">
        <v>152</v>
      </c>
      <c r="S1" s="3" t="s">
        <v>153</v>
      </c>
      <c r="T1" s="3" t="s">
        <v>154</v>
      </c>
      <c r="U1" s="3" t="s">
        <v>155</v>
      </c>
      <c r="V1" s="3" t="s">
        <v>156</v>
      </c>
      <c r="W1" s="3" t="s">
        <v>157</v>
      </c>
      <c r="X1" s="3" t="s">
        <v>158</v>
      </c>
      <c r="Y1" s="3" t="s">
        <v>159</v>
      </c>
      <c r="Z1" s="4" t="s">
        <v>4</v>
      </c>
      <c r="AA1" s="4" t="s">
        <v>136</v>
      </c>
      <c r="AB1" s="4" t="s">
        <v>137</v>
      </c>
      <c r="AC1" s="4" t="s">
        <v>5</v>
      </c>
      <c r="AD1" s="4" t="s">
        <v>138</v>
      </c>
      <c r="AE1" s="4" t="s">
        <v>6</v>
      </c>
      <c r="AF1" s="4" t="s">
        <v>38</v>
      </c>
      <c r="AG1" s="4" t="s">
        <v>39</v>
      </c>
      <c r="AH1" s="4" t="s">
        <v>8</v>
      </c>
      <c r="AI1" s="4" t="s">
        <v>47</v>
      </c>
      <c r="AJ1" s="4" t="s">
        <v>9</v>
      </c>
      <c r="AK1" s="4" t="s">
        <v>43</v>
      </c>
      <c r="AL1" s="3" t="s">
        <v>140</v>
      </c>
      <c r="AM1" s="3" t="s">
        <v>139</v>
      </c>
    </row>
    <row r="2" spans="1:39" x14ac:dyDescent="0.35">
      <c r="A2">
        <v>1</v>
      </c>
      <c r="B2" t="s">
        <v>18</v>
      </c>
      <c r="C2">
        <v>-0.04</v>
      </c>
      <c r="D2" s="9">
        <v>90</v>
      </c>
      <c r="E2" t="s">
        <v>160</v>
      </c>
      <c r="F2" t="s">
        <v>55</v>
      </c>
      <c r="G2" t="s">
        <v>166</v>
      </c>
      <c r="H2">
        <v>0</v>
      </c>
      <c r="I2" s="13">
        <v>0</v>
      </c>
      <c r="J2">
        <v>1</v>
      </c>
      <c r="K2" s="2">
        <v>1</v>
      </c>
      <c r="L2">
        <v>1</v>
      </c>
      <c r="M2" s="2">
        <f>L2-K2</f>
        <v>0</v>
      </c>
      <c r="N2">
        <v>5</v>
      </c>
      <c r="O2">
        <v>5</v>
      </c>
      <c r="P2">
        <f>O2-N2</f>
        <v>0</v>
      </c>
      <c r="Q2">
        <v>2</v>
      </c>
      <c r="R2">
        <v>2</v>
      </c>
      <c r="S2">
        <f>R2-Q2</f>
        <v>0</v>
      </c>
      <c r="T2">
        <v>1</v>
      </c>
      <c r="U2">
        <v>1</v>
      </c>
      <c r="V2">
        <f>U2-T2</f>
        <v>0</v>
      </c>
      <c r="W2">
        <v>1</v>
      </c>
      <c r="X2">
        <v>1</v>
      </c>
      <c r="Y2">
        <f>X2-W2</f>
        <v>0</v>
      </c>
      <c r="Z2" s="2">
        <v>0</v>
      </c>
      <c r="AA2" s="2">
        <v>0</v>
      </c>
      <c r="AB2" s="2">
        <v>0</v>
      </c>
      <c r="AC2">
        <f>IF(AA2+AB2&gt;0,1,0)</f>
        <v>0</v>
      </c>
      <c r="AD2" s="2">
        <v>0</v>
      </c>
      <c r="AE2" s="2">
        <v>1</v>
      </c>
      <c r="AF2" s="2">
        <v>0</v>
      </c>
      <c r="AG2" s="2">
        <v>1</v>
      </c>
      <c r="AH2" s="2">
        <v>0</v>
      </c>
      <c r="AI2" s="2">
        <v>0</v>
      </c>
      <c r="AJ2" s="2">
        <v>0</v>
      </c>
      <c r="AK2" s="2">
        <v>0</v>
      </c>
      <c r="AL2">
        <f>IF(Z2+AC2+AD2+AE2+AG2+AJ2+AK2=0,1,0)</f>
        <v>0</v>
      </c>
      <c r="AM2" s="9" t="s">
        <v>39</v>
      </c>
    </row>
    <row r="3" spans="1:39" x14ac:dyDescent="0.35">
      <c r="A3">
        <v>4</v>
      </c>
      <c r="B3" t="s">
        <v>18</v>
      </c>
      <c r="C3">
        <v>-0.04</v>
      </c>
      <c r="D3">
        <v>90</v>
      </c>
      <c r="E3" t="s">
        <v>162</v>
      </c>
      <c r="F3" t="s">
        <v>56</v>
      </c>
      <c r="G3" t="s">
        <v>166</v>
      </c>
      <c r="H3">
        <v>0</v>
      </c>
      <c r="I3" s="13">
        <v>0</v>
      </c>
      <c r="J3">
        <v>1</v>
      </c>
      <c r="K3" s="2">
        <v>5</v>
      </c>
      <c r="L3">
        <v>5</v>
      </c>
      <c r="M3" s="2">
        <f t="shared" ref="M3:M19" si="0">L3-K3</f>
        <v>0</v>
      </c>
      <c r="N3">
        <v>9</v>
      </c>
      <c r="O3">
        <v>9</v>
      </c>
      <c r="P3">
        <f t="shared" ref="P3:P19" si="1">O3-N3</f>
        <v>0</v>
      </c>
      <c r="Q3">
        <v>1</v>
      </c>
      <c r="R3">
        <v>1</v>
      </c>
      <c r="S3">
        <f t="shared" ref="S3:S19" si="2">R3-Q3</f>
        <v>0</v>
      </c>
      <c r="T3">
        <v>1</v>
      </c>
      <c r="U3">
        <v>1</v>
      </c>
      <c r="V3">
        <f t="shared" ref="V3:V19" si="3">U3-T3</f>
        <v>0</v>
      </c>
      <c r="W3">
        <v>0</v>
      </c>
      <c r="X3">
        <v>0</v>
      </c>
      <c r="Y3">
        <f t="shared" ref="Y3:Y19" si="4">X3-W3</f>
        <v>0</v>
      </c>
      <c r="Z3" s="2">
        <v>0</v>
      </c>
      <c r="AA3" s="2">
        <v>0</v>
      </c>
      <c r="AB3" s="2">
        <v>0</v>
      </c>
      <c r="AC3">
        <f t="shared" ref="AC3:AC19" si="5">IF(AA3+AB3&gt;0,1,0)</f>
        <v>0</v>
      </c>
      <c r="AD3" s="2">
        <v>0</v>
      </c>
      <c r="AE3" s="2">
        <v>0</v>
      </c>
      <c r="AF3" s="2">
        <v>0</v>
      </c>
      <c r="AG3" s="2">
        <v>0</v>
      </c>
      <c r="AH3" s="2">
        <v>0</v>
      </c>
      <c r="AI3" s="2">
        <v>0</v>
      </c>
      <c r="AJ3" s="2">
        <v>0</v>
      </c>
      <c r="AK3" s="2">
        <v>0</v>
      </c>
      <c r="AL3">
        <f t="shared" ref="AL3:AL19" si="6">IF(Z3+AC3+AD3+AE3+AG3+AJ3+AK3=0,1,0)</f>
        <v>1</v>
      </c>
      <c r="AM3" t="s">
        <v>140</v>
      </c>
    </row>
    <row r="4" spans="1:39" x14ac:dyDescent="0.35">
      <c r="A4">
        <v>8</v>
      </c>
      <c r="B4" t="s">
        <v>14</v>
      </c>
      <c r="C4">
        <v>1.42</v>
      </c>
      <c r="D4" s="2">
        <v>5</v>
      </c>
      <c r="E4" t="s">
        <v>61</v>
      </c>
      <c r="F4" t="s">
        <v>55</v>
      </c>
      <c r="G4" t="s">
        <v>167</v>
      </c>
      <c r="H4">
        <v>0</v>
      </c>
      <c r="I4" s="13">
        <v>0</v>
      </c>
      <c r="J4">
        <v>1</v>
      </c>
      <c r="K4" s="2">
        <v>1</v>
      </c>
      <c r="L4">
        <v>1</v>
      </c>
      <c r="M4" s="2">
        <f t="shared" si="0"/>
        <v>0</v>
      </c>
      <c r="N4">
        <v>9</v>
      </c>
      <c r="O4">
        <v>9</v>
      </c>
      <c r="P4">
        <f t="shared" si="1"/>
        <v>0</v>
      </c>
      <c r="Q4">
        <v>3</v>
      </c>
      <c r="R4">
        <v>3</v>
      </c>
      <c r="S4">
        <f t="shared" si="2"/>
        <v>0</v>
      </c>
      <c r="T4">
        <v>3</v>
      </c>
      <c r="U4">
        <v>4</v>
      </c>
      <c r="V4">
        <f t="shared" si="3"/>
        <v>1</v>
      </c>
      <c r="W4">
        <v>1</v>
      </c>
      <c r="X4">
        <v>1</v>
      </c>
      <c r="Y4">
        <f t="shared" si="4"/>
        <v>0</v>
      </c>
      <c r="Z4" s="2">
        <v>0</v>
      </c>
      <c r="AA4" s="2">
        <v>0</v>
      </c>
      <c r="AB4" s="2">
        <v>0</v>
      </c>
      <c r="AC4">
        <f t="shared" si="5"/>
        <v>0</v>
      </c>
      <c r="AD4" s="2">
        <v>0</v>
      </c>
      <c r="AE4" s="2">
        <v>0</v>
      </c>
      <c r="AF4" s="2">
        <v>0</v>
      </c>
      <c r="AG4" s="2">
        <v>0</v>
      </c>
      <c r="AH4" s="2">
        <v>0</v>
      </c>
      <c r="AI4" s="2">
        <v>0</v>
      </c>
      <c r="AJ4" s="2">
        <v>0</v>
      </c>
      <c r="AK4" s="2">
        <v>0</v>
      </c>
      <c r="AL4">
        <f t="shared" si="6"/>
        <v>1</v>
      </c>
      <c r="AM4" t="s">
        <v>140</v>
      </c>
    </row>
    <row r="5" spans="1:39" x14ac:dyDescent="0.35">
      <c r="A5">
        <v>15</v>
      </c>
      <c r="B5" t="s">
        <v>18</v>
      </c>
      <c r="C5">
        <v>-0.04</v>
      </c>
      <c r="D5" s="2">
        <v>57</v>
      </c>
      <c r="E5" t="s">
        <v>160</v>
      </c>
      <c r="F5" t="s">
        <v>55</v>
      </c>
      <c r="G5" t="s">
        <v>166</v>
      </c>
      <c r="H5">
        <v>0</v>
      </c>
      <c r="I5" s="13">
        <v>0</v>
      </c>
      <c r="J5">
        <v>1</v>
      </c>
      <c r="K5" s="2">
        <v>2</v>
      </c>
      <c r="L5">
        <v>2</v>
      </c>
      <c r="M5" s="2">
        <f t="shared" si="0"/>
        <v>0</v>
      </c>
      <c r="N5">
        <v>8</v>
      </c>
      <c r="O5">
        <v>8</v>
      </c>
      <c r="P5">
        <f t="shared" si="1"/>
        <v>0</v>
      </c>
      <c r="Q5">
        <v>3</v>
      </c>
      <c r="R5">
        <v>3</v>
      </c>
      <c r="S5">
        <f t="shared" si="2"/>
        <v>0</v>
      </c>
      <c r="T5">
        <v>1</v>
      </c>
      <c r="U5">
        <v>2</v>
      </c>
      <c r="V5">
        <f t="shared" si="3"/>
        <v>1</v>
      </c>
      <c r="W5">
        <v>1</v>
      </c>
      <c r="X5">
        <v>1</v>
      </c>
      <c r="Y5">
        <f t="shared" si="4"/>
        <v>0</v>
      </c>
      <c r="Z5" s="2">
        <v>0</v>
      </c>
      <c r="AA5" s="2">
        <v>0</v>
      </c>
      <c r="AB5" s="2">
        <v>0</v>
      </c>
      <c r="AC5">
        <f t="shared" si="5"/>
        <v>0</v>
      </c>
      <c r="AD5" s="2">
        <v>0</v>
      </c>
      <c r="AE5" s="2">
        <v>1</v>
      </c>
      <c r="AF5" s="2">
        <v>0</v>
      </c>
      <c r="AG5" s="2">
        <v>1</v>
      </c>
      <c r="AH5" s="2">
        <v>0</v>
      </c>
      <c r="AI5" s="2">
        <v>0</v>
      </c>
      <c r="AJ5" s="2">
        <v>1</v>
      </c>
      <c r="AK5" s="2">
        <v>0</v>
      </c>
      <c r="AL5">
        <f t="shared" si="6"/>
        <v>0</v>
      </c>
      <c r="AM5" t="s">
        <v>140</v>
      </c>
    </row>
    <row r="6" spans="1:39" x14ac:dyDescent="0.35">
      <c r="A6">
        <v>19</v>
      </c>
      <c r="B6" t="s">
        <v>16</v>
      </c>
      <c r="C6">
        <v>1.61</v>
      </c>
      <c r="D6" s="2">
        <v>118</v>
      </c>
      <c r="E6" t="s">
        <v>52</v>
      </c>
      <c r="F6" t="s">
        <v>53</v>
      </c>
      <c r="G6" t="s">
        <v>167</v>
      </c>
      <c r="H6">
        <v>0</v>
      </c>
      <c r="I6" s="13">
        <v>0</v>
      </c>
      <c r="J6">
        <v>2</v>
      </c>
      <c r="K6" s="2">
        <v>3</v>
      </c>
      <c r="L6">
        <v>3</v>
      </c>
      <c r="M6" s="2">
        <f t="shared" si="0"/>
        <v>0</v>
      </c>
      <c r="N6">
        <v>9</v>
      </c>
      <c r="O6">
        <v>9</v>
      </c>
      <c r="P6">
        <f t="shared" si="1"/>
        <v>0</v>
      </c>
      <c r="Q6">
        <v>3</v>
      </c>
      <c r="R6">
        <v>3</v>
      </c>
      <c r="S6">
        <f t="shared" si="2"/>
        <v>0</v>
      </c>
      <c r="T6">
        <v>1</v>
      </c>
      <c r="U6">
        <v>1</v>
      </c>
      <c r="V6">
        <f t="shared" si="3"/>
        <v>0</v>
      </c>
      <c r="W6">
        <v>1</v>
      </c>
      <c r="X6">
        <v>1</v>
      </c>
      <c r="Y6">
        <f t="shared" si="4"/>
        <v>0</v>
      </c>
      <c r="Z6" s="2">
        <v>0</v>
      </c>
      <c r="AA6" s="5">
        <v>0</v>
      </c>
      <c r="AB6" s="5">
        <v>0</v>
      </c>
      <c r="AC6">
        <f t="shared" si="5"/>
        <v>0</v>
      </c>
      <c r="AD6" s="2">
        <v>0</v>
      </c>
      <c r="AE6" s="2">
        <v>0</v>
      </c>
      <c r="AF6" s="2">
        <v>0</v>
      </c>
      <c r="AG6" s="2">
        <v>0</v>
      </c>
      <c r="AH6" s="2">
        <v>0</v>
      </c>
      <c r="AI6" s="2">
        <v>0</v>
      </c>
      <c r="AJ6" s="2">
        <v>0</v>
      </c>
      <c r="AK6" s="2">
        <v>0</v>
      </c>
      <c r="AL6">
        <f t="shared" si="6"/>
        <v>1</v>
      </c>
      <c r="AM6" t="s">
        <v>140</v>
      </c>
    </row>
    <row r="7" spans="1:39" x14ac:dyDescent="0.35">
      <c r="A7">
        <v>21</v>
      </c>
      <c r="B7" t="s">
        <v>164</v>
      </c>
      <c r="C7">
        <v>0.44</v>
      </c>
      <c r="D7" s="2">
        <v>11</v>
      </c>
      <c r="E7" t="s">
        <v>141</v>
      </c>
      <c r="F7" t="s">
        <v>55</v>
      </c>
      <c r="G7" t="s">
        <v>166</v>
      </c>
      <c r="H7">
        <v>0</v>
      </c>
      <c r="I7" s="13">
        <v>0</v>
      </c>
      <c r="J7">
        <v>2</v>
      </c>
      <c r="K7" s="2">
        <v>2</v>
      </c>
      <c r="L7">
        <v>2</v>
      </c>
      <c r="M7" s="2">
        <f t="shared" si="0"/>
        <v>0</v>
      </c>
      <c r="N7">
        <v>7</v>
      </c>
      <c r="O7">
        <v>5</v>
      </c>
      <c r="P7">
        <f t="shared" si="1"/>
        <v>-2</v>
      </c>
      <c r="Q7">
        <v>1</v>
      </c>
      <c r="R7">
        <v>1</v>
      </c>
      <c r="S7">
        <f t="shared" si="2"/>
        <v>0</v>
      </c>
      <c r="T7">
        <v>2</v>
      </c>
      <c r="U7">
        <v>2</v>
      </c>
      <c r="V7">
        <f t="shared" si="3"/>
        <v>0</v>
      </c>
      <c r="W7">
        <v>1</v>
      </c>
      <c r="X7">
        <v>1</v>
      </c>
      <c r="Y7">
        <f t="shared" si="4"/>
        <v>0</v>
      </c>
      <c r="Z7" s="2">
        <v>0</v>
      </c>
      <c r="AA7" s="2">
        <v>0</v>
      </c>
      <c r="AB7" s="2">
        <v>0</v>
      </c>
      <c r="AC7">
        <f t="shared" si="5"/>
        <v>0</v>
      </c>
      <c r="AD7" s="2">
        <v>0</v>
      </c>
      <c r="AE7" s="2">
        <v>0</v>
      </c>
      <c r="AF7" s="2">
        <v>0</v>
      </c>
      <c r="AG7" s="2">
        <v>1</v>
      </c>
      <c r="AH7" s="2">
        <v>0</v>
      </c>
      <c r="AI7" s="2">
        <v>0</v>
      </c>
      <c r="AJ7" s="2">
        <v>1</v>
      </c>
      <c r="AK7" s="2">
        <v>0</v>
      </c>
      <c r="AL7">
        <f t="shared" si="6"/>
        <v>0</v>
      </c>
      <c r="AM7" t="s">
        <v>9</v>
      </c>
    </row>
    <row r="8" spans="1:39" x14ac:dyDescent="0.35">
      <c r="A8">
        <v>22</v>
      </c>
      <c r="B8" t="s">
        <v>16</v>
      </c>
      <c r="C8">
        <v>1.61</v>
      </c>
      <c r="D8">
        <v>63</v>
      </c>
      <c r="E8" t="s">
        <v>52</v>
      </c>
      <c r="F8" t="s">
        <v>53</v>
      </c>
      <c r="G8" t="s">
        <v>166</v>
      </c>
      <c r="H8">
        <v>0</v>
      </c>
      <c r="I8" s="13">
        <v>0</v>
      </c>
      <c r="J8">
        <v>2</v>
      </c>
      <c r="K8" s="2">
        <v>5</v>
      </c>
      <c r="L8">
        <v>5</v>
      </c>
      <c r="M8" s="2">
        <f t="shared" si="0"/>
        <v>0</v>
      </c>
      <c r="N8">
        <v>1</v>
      </c>
      <c r="O8">
        <v>1</v>
      </c>
      <c r="P8">
        <f t="shared" si="1"/>
        <v>0</v>
      </c>
      <c r="Q8">
        <v>2</v>
      </c>
      <c r="R8">
        <v>2</v>
      </c>
      <c r="S8">
        <f t="shared" si="2"/>
        <v>0</v>
      </c>
      <c r="T8">
        <v>1</v>
      </c>
      <c r="U8">
        <v>1</v>
      </c>
      <c r="V8">
        <f t="shared" si="3"/>
        <v>0</v>
      </c>
      <c r="W8">
        <v>0</v>
      </c>
      <c r="X8">
        <v>0</v>
      </c>
      <c r="Y8">
        <f t="shared" si="4"/>
        <v>0</v>
      </c>
      <c r="Z8" s="2">
        <v>0</v>
      </c>
      <c r="AA8" s="5">
        <v>0</v>
      </c>
      <c r="AB8" s="5">
        <v>0</v>
      </c>
      <c r="AC8">
        <f t="shared" si="5"/>
        <v>0</v>
      </c>
      <c r="AD8" s="2">
        <v>0</v>
      </c>
      <c r="AE8" s="2">
        <v>0</v>
      </c>
      <c r="AF8" s="2">
        <v>0</v>
      </c>
      <c r="AG8" s="2">
        <v>0</v>
      </c>
      <c r="AH8" s="2">
        <v>0</v>
      </c>
      <c r="AI8" s="2">
        <v>0</v>
      </c>
      <c r="AJ8" s="2">
        <v>0</v>
      </c>
      <c r="AK8" s="2">
        <v>0</v>
      </c>
      <c r="AL8">
        <f t="shared" si="6"/>
        <v>1</v>
      </c>
      <c r="AM8" t="s">
        <v>140</v>
      </c>
    </row>
    <row r="9" spans="1:39" x14ac:dyDescent="0.35">
      <c r="A9">
        <v>32</v>
      </c>
      <c r="B9" t="s">
        <v>165</v>
      </c>
      <c r="C9">
        <v>1.47</v>
      </c>
      <c r="D9" s="2">
        <v>46</v>
      </c>
      <c r="E9" t="s">
        <v>162</v>
      </c>
      <c r="F9" t="s">
        <v>56</v>
      </c>
      <c r="G9" t="s">
        <v>167</v>
      </c>
      <c r="H9">
        <v>0</v>
      </c>
      <c r="I9" s="13">
        <v>0</v>
      </c>
      <c r="J9">
        <v>2</v>
      </c>
      <c r="K9" s="2">
        <v>3</v>
      </c>
      <c r="L9">
        <v>3</v>
      </c>
      <c r="M9" s="2">
        <f t="shared" si="0"/>
        <v>0</v>
      </c>
      <c r="N9">
        <v>8</v>
      </c>
      <c r="O9">
        <v>8</v>
      </c>
      <c r="P9">
        <f t="shared" si="1"/>
        <v>0</v>
      </c>
      <c r="Q9">
        <v>2</v>
      </c>
      <c r="R9">
        <v>2</v>
      </c>
      <c r="S9">
        <f t="shared" si="2"/>
        <v>0</v>
      </c>
      <c r="T9">
        <v>1</v>
      </c>
      <c r="U9">
        <v>1</v>
      </c>
      <c r="V9">
        <f t="shared" si="3"/>
        <v>0</v>
      </c>
      <c r="W9">
        <v>1</v>
      </c>
      <c r="X9">
        <v>1</v>
      </c>
      <c r="Y9">
        <f t="shared" si="4"/>
        <v>0</v>
      </c>
      <c r="Z9" s="2">
        <v>0</v>
      </c>
      <c r="AA9" s="2">
        <v>0</v>
      </c>
      <c r="AB9" s="2">
        <v>0</v>
      </c>
      <c r="AC9">
        <f t="shared" si="5"/>
        <v>0</v>
      </c>
      <c r="AD9" s="2">
        <v>0</v>
      </c>
      <c r="AE9" s="2">
        <v>1</v>
      </c>
      <c r="AF9" s="2">
        <v>0</v>
      </c>
      <c r="AG9" s="2">
        <v>1</v>
      </c>
      <c r="AH9" s="2">
        <v>0</v>
      </c>
      <c r="AI9" s="2">
        <v>0</v>
      </c>
      <c r="AJ9" s="2">
        <v>1</v>
      </c>
      <c r="AK9" s="2">
        <v>0</v>
      </c>
      <c r="AL9">
        <f t="shared" si="6"/>
        <v>0</v>
      </c>
      <c r="AM9" t="s">
        <v>6</v>
      </c>
    </row>
    <row r="10" spans="1:39" x14ac:dyDescent="0.35">
      <c r="A10">
        <v>33</v>
      </c>
      <c r="B10" t="s">
        <v>164</v>
      </c>
      <c r="C10">
        <v>0.44</v>
      </c>
      <c r="D10" s="5">
        <v>12</v>
      </c>
      <c r="E10" t="s">
        <v>61</v>
      </c>
      <c r="F10" t="s">
        <v>53</v>
      </c>
      <c r="G10" t="s">
        <v>166</v>
      </c>
      <c r="H10">
        <v>0</v>
      </c>
      <c r="I10" s="13">
        <v>0</v>
      </c>
      <c r="J10">
        <v>2</v>
      </c>
      <c r="K10" s="2">
        <v>3</v>
      </c>
      <c r="L10">
        <v>3</v>
      </c>
      <c r="M10" s="2">
        <f t="shared" si="0"/>
        <v>0</v>
      </c>
      <c r="N10">
        <v>5</v>
      </c>
      <c r="O10">
        <v>5</v>
      </c>
      <c r="P10">
        <f t="shared" si="1"/>
        <v>0</v>
      </c>
      <c r="Q10">
        <v>3</v>
      </c>
      <c r="R10">
        <v>3</v>
      </c>
      <c r="S10">
        <f t="shared" si="2"/>
        <v>0</v>
      </c>
      <c r="T10">
        <v>3</v>
      </c>
      <c r="U10">
        <v>3</v>
      </c>
      <c r="V10">
        <f t="shared" si="3"/>
        <v>0</v>
      </c>
      <c r="W10">
        <v>1</v>
      </c>
      <c r="X10">
        <v>1</v>
      </c>
      <c r="Y10">
        <f t="shared" si="4"/>
        <v>0</v>
      </c>
      <c r="Z10" s="2">
        <v>0</v>
      </c>
      <c r="AA10" s="2">
        <v>0</v>
      </c>
      <c r="AB10" s="2">
        <v>0</v>
      </c>
      <c r="AC10">
        <f t="shared" si="5"/>
        <v>0</v>
      </c>
      <c r="AD10" s="2">
        <v>0</v>
      </c>
      <c r="AE10" s="2">
        <v>1</v>
      </c>
      <c r="AF10" s="2">
        <v>0</v>
      </c>
      <c r="AG10" s="2">
        <v>1</v>
      </c>
      <c r="AH10" s="2">
        <v>0</v>
      </c>
      <c r="AI10" s="2">
        <v>1</v>
      </c>
      <c r="AJ10" s="2">
        <v>1</v>
      </c>
      <c r="AK10" s="2">
        <v>0</v>
      </c>
      <c r="AL10">
        <f t="shared" si="6"/>
        <v>0</v>
      </c>
      <c r="AM10" s="9" t="s">
        <v>6</v>
      </c>
    </row>
    <row r="11" spans="1:39" x14ac:dyDescent="0.35">
      <c r="A11">
        <v>34</v>
      </c>
      <c r="B11" t="s">
        <v>16</v>
      </c>
      <c r="C11">
        <v>1.61</v>
      </c>
      <c r="D11" s="2">
        <v>1</v>
      </c>
      <c r="E11" t="s">
        <v>52</v>
      </c>
      <c r="F11" t="s">
        <v>56</v>
      </c>
      <c r="G11" t="s">
        <v>166</v>
      </c>
      <c r="H11">
        <v>0</v>
      </c>
      <c r="I11" s="13">
        <v>0</v>
      </c>
      <c r="J11">
        <v>2</v>
      </c>
      <c r="K11" s="2">
        <v>2</v>
      </c>
      <c r="L11">
        <v>2</v>
      </c>
      <c r="M11" s="2">
        <f t="shared" si="0"/>
        <v>0</v>
      </c>
      <c r="N11">
        <v>9</v>
      </c>
      <c r="O11">
        <v>9</v>
      </c>
      <c r="P11">
        <f t="shared" si="1"/>
        <v>0</v>
      </c>
      <c r="Q11">
        <v>1</v>
      </c>
      <c r="R11">
        <v>1</v>
      </c>
      <c r="S11">
        <f t="shared" si="2"/>
        <v>0</v>
      </c>
      <c r="T11">
        <v>2</v>
      </c>
      <c r="U11">
        <v>1</v>
      </c>
      <c r="V11">
        <f t="shared" si="3"/>
        <v>-1</v>
      </c>
      <c r="W11">
        <v>0</v>
      </c>
      <c r="X11">
        <v>0</v>
      </c>
      <c r="Y11">
        <f t="shared" si="4"/>
        <v>0</v>
      </c>
      <c r="Z11" s="2">
        <v>0</v>
      </c>
      <c r="AA11" s="5">
        <v>0</v>
      </c>
      <c r="AB11" s="5">
        <v>0</v>
      </c>
      <c r="AC11">
        <f t="shared" si="5"/>
        <v>0</v>
      </c>
      <c r="AD11" s="2">
        <v>0</v>
      </c>
      <c r="AE11" s="2">
        <v>0</v>
      </c>
      <c r="AF11" s="2">
        <v>0</v>
      </c>
      <c r="AG11" s="2">
        <v>0</v>
      </c>
      <c r="AH11" s="2">
        <v>0</v>
      </c>
      <c r="AI11" s="2">
        <v>0</v>
      </c>
      <c r="AJ11" s="2">
        <v>0</v>
      </c>
      <c r="AK11" s="2">
        <v>0</v>
      </c>
      <c r="AL11">
        <f t="shared" si="6"/>
        <v>1</v>
      </c>
      <c r="AM11" t="s">
        <v>140</v>
      </c>
    </row>
    <row r="12" spans="1:39" x14ac:dyDescent="0.35">
      <c r="A12">
        <v>37</v>
      </c>
      <c r="B12" t="s">
        <v>164</v>
      </c>
      <c r="C12">
        <v>0.44</v>
      </c>
      <c r="D12" s="2">
        <v>12</v>
      </c>
      <c r="E12" t="s">
        <v>162</v>
      </c>
      <c r="F12" t="s">
        <v>54</v>
      </c>
      <c r="G12" t="s">
        <v>166</v>
      </c>
      <c r="H12">
        <v>0</v>
      </c>
      <c r="I12" s="13">
        <v>0</v>
      </c>
      <c r="J12">
        <v>2</v>
      </c>
      <c r="K12" s="2">
        <v>5</v>
      </c>
      <c r="L12">
        <v>5</v>
      </c>
      <c r="M12" s="2">
        <f t="shared" si="0"/>
        <v>0</v>
      </c>
      <c r="N12">
        <v>7</v>
      </c>
      <c r="O12">
        <v>7</v>
      </c>
      <c r="P12">
        <f t="shared" si="1"/>
        <v>0</v>
      </c>
      <c r="Q12">
        <v>2</v>
      </c>
      <c r="R12">
        <v>2</v>
      </c>
      <c r="S12">
        <f t="shared" si="2"/>
        <v>0</v>
      </c>
      <c r="T12">
        <v>1</v>
      </c>
      <c r="U12">
        <v>1</v>
      </c>
      <c r="V12">
        <f t="shared" si="3"/>
        <v>0</v>
      </c>
      <c r="W12">
        <v>0</v>
      </c>
      <c r="X12">
        <v>1</v>
      </c>
      <c r="Y12">
        <f t="shared" si="4"/>
        <v>1</v>
      </c>
      <c r="Z12" s="2">
        <v>0</v>
      </c>
      <c r="AA12" s="2">
        <v>0</v>
      </c>
      <c r="AB12" s="2">
        <v>0</v>
      </c>
      <c r="AC12">
        <f t="shared" si="5"/>
        <v>0</v>
      </c>
      <c r="AD12" s="2">
        <v>0</v>
      </c>
      <c r="AE12" s="2">
        <v>1</v>
      </c>
      <c r="AF12" s="2">
        <v>0</v>
      </c>
      <c r="AG12" s="2">
        <v>1</v>
      </c>
      <c r="AH12" s="2">
        <v>0</v>
      </c>
      <c r="AI12" s="2">
        <v>0</v>
      </c>
      <c r="AJ12" s="2">
        <v>0</v>
      </c>
      <c r="AK12" s="2">
        <v>0</v>
      </c>
      <c r="AL12">
        <f t="shared" si="6"/>
        <v>0</v>
      </c>
      <c r="AM12" t="s">
        <v>6</v>
      </c>
    </row>
    <row r="13" spans="1:39" x14ac:dyDescent="0.35">
      <c r="A13">
        <v>43</v>
      </c>
      <c r="B13" t="s">
        <v>16</v>
      </c>
      <c r="C13">
        <v>1.61</v>
      </c>
      <c r="D13" s="5">
        <v>7</v>
      </c>
      <c r="E13" t="s">
        <v>52</v>
      </c>
      <c r="F13" t="s">
        <v>53</v>
      </c>
      <c r="G13" t="s">
        <v>166</v>
      </c>
      <c r="H13">
        <v>0</v>
      </c>
      <c r="I13" s="13">
        <v>0</v>
      </c>
      <c r="J13">
        <v>2</v>
      </c>
      <c r="K13" s="2">
        <v>4</v>
      </c>
      <c r="L13">
        <v>4</v>
      </c>
      <c r="M13" s="2">
        <f t="shared" si="0"/>
        <v>0</v>
      </c>
      <c r="N13">
        <v>7</v>
      </c>
      <c r="O13">
        <v>6</v>
      </c>
      <c r="P13">
        <f t="shared" si="1"/>
        <v>-1</v>
      </c>
      <c r="Q13">
        <v>3</v>
      </c>
      <c r="R13">
        <v>3</v>
      </c>
      <c r="S13">
        <f t="shared" si="2"/>
        <v>0</v>
      </c>
      <c r="T13">
        <v>4</v>
      </c>
      <c r="U13">
        <v>2</v>
      </c>
      <c r="V13">
        <f t="shared" si="3"/>
        <v>-2</v>
      </c>
      <c r="W13">
        <v>1</v>
      </c>
      <c r="X13">
        <v>1</v>
      </c>
      <c r="Y13">
        <f t="shared" si="4"/>
        <v>0</v>
      </c>
      <c r="Z13" s="2">
        <v>0</v>
      </c>
      <c r="AA13" s="5">
        <v>0</v>
      </c>
      <c r="AB13" s="5">
        <v>0</v>
      </c>
      <c r="AC13">
        <f t="shared" si="5"/>
        <v>0</v>
      </c>
      <c r="AD13" s="2">
        <v>0</v>
      </c>
      <c r="AE13" s="2">
        <v>1</v>
      </c>
      <c r="AF13" s="2">
        <v>0</v>
      </c>
      <c r="AG13" s="2">
        <v>1</v>
      </c>
      <c r="AH13" s="2">
        <v>0</v>
      </c>
      <c r="AI13" s="2">
        <v>0</v>
      </c>
      <c r="AJ13" s="2">
        <v>0</v>
      </c>
      <c r="AK13" s="2">
        <v>0</v>
      </c>
      <c r="AL13">
        <f t="shared" si="6"/>
        <v>0</v>
      </c>
      <c r="AM13" s="9" t="s">
        <v>39</v>
      </c>
    </row>
    <row r="14" spans="1:39" x14ac:dyDescent="0.35">
      <c r="A14">
        <v>47</v>
      </c>
      <c r="B14" t="s">
        <v>18</v>
      </c>
      <c r="C14">
        <v>-0.04</v>
      </c>
      <c r="D14" s="5">
        <v>56</v>
      </c>
      <c r="E14" t="s">
        <v>160</v>
      </c>
      <c r="F14" t="s">
        <v>53</v>
      </c>
      <c r="G14" t="s">
        <v>167</v>
      </c>
      <c r="H14">
        <v>0</v>
      </c>
      <c r="I14" s="13">
        <v>0</v>
      </c>
      <c r="J14">
        <v>1</v>
      </c>
      <c r="K14" s="2">
        <v>4</v>
      </c>
      <c r="L14">
        <v>4</v>
      </c>
      <c r="M14" s="2">
        <f t="shared" si="0"/>
        <v>0</v>
      </c>
      <c r="N14">
        <v>9</v>
      </c>
      <c r="O14">
        <v>9</v>
      </c>
      <c r="P14">
        <f t="shared" si="1"/>
        <v>0</v>
      </c>
      <c r="Q14">
        <v>1</v>
      </c>
      <c r="R14">
        <v>1</v>
      </c>
      <c r="S14">
        <f t="shared" si="2"/>
        <v>0</v>
      </c>
      <c r="T14">
        <v>1</v>
      </c>
      <c r="U14">
        <v>1</v>
      </c>
      <c r="V14">
        <f t="shared" si="3"/>
        <v>0</v>
      </c>
      <c r="W14">
        <v>0</v>
      </c>
      <c r="X14">
        <v>0</v>
      </c>
      <c r="Y14">
        <f t="shared" si="4"/>
        <v>0</v>
      </c>
      <c r="Z14" s="2">
        <v>0</v>
      </c>
      <c r="AA14" s="2">
        <v>0</v>
      </c>
      <c r="AB14" s="2">
        <v>0</v>
      </c>
      <c r="AC14">
        <f t="shared" si="5"/>
        <v>0</v>
      </c>
      <c r="AD14" s="2">
        <v>0</v>
      </c>
      <c r="AE14" s="2">
        <v>0</v>
      </c>
      <c r="AF14" s="2">
        <v>0</v>
      </c>
      <c r="AG14" s="2">
        <v>1</v>
      </c>
      <c r="AH14" s="2">
        <v>0</v>
      </c>
      <c r="AI14" s="2">
        <v>0</v>
      </c>
      <c r="AJ14" s="2">
        <v>1</v>
      </c>
      <c r="AK14" s="2">
        <v>0</v>
      </c>
      <c r="AL14">
        <f t="shared" si="6"/>
        <v>0</v>
      </c>
      <c r="AM14" s="9" t="s">
        <v>39</v>
      </c>
    </row>
    <row r="15" spans="1:39" x14ac:dyDescent="0.35">
      <c r="A15">
        <v>52</v>
      </c>
      <c r="B15" t="s">
        <v>16</v>
      </c>
      <c r="C15">
        <v>1.61</v>
      </c>
      <c r="D15" s="2">
        <v>14</v>
      </c>
      <c r="E15" t="s">
        <v>160</v>
      </c>
      <c r="F15" t="s">
        <v>53</v>
      </c>
      <c r="G15" t="s">
        <v>167</v>
      </c>
      <c r="H15">
        <v>0</v>
      </c>
      <c r="I15" s="13">
        <v>0</v>
      </c>
      <c r="J15">
        <v>2</v>
      </c>
      <c r="K15" s="2">
        <v>3</v>
      </c>
      <c r="L15">
        <v>3</v>
      </c>
      <c r="M15" s="2">
        <f t="shared" si="0"/>
        <v>0</v>
      </c>
      <c r="N15">
        <v>9</v>
      </c>
      <c r="O15">
        <v>9</v>
      </c>
      <c r="P15">
        <f t="shared" si="1"/>
        <v>0</v>
      </c>
      <c r="Q15">
        <v>3</v>
      </c>
      <c r="R15">
        <v>3</v>
      </c>
      <c r="S15">
        <f t="shared" si="2"/>
        <v>0</v>
      </c>
      <c r="T15">
        <v>1</v>
      </c>
      <c r="U15">
        <v>2</v>
      </c>
      <c r="V15">
        <f t="shared" si="3"/>
        <v>1</v>
      </c>
      <c r="W15">
        <v>0</v>
      </c>
      <c r="X15">
        <v>1</v>
      </c>
      <c r="Y15">
        <f t="shared" si="4"/>
        <v>1</v>
      </c>
      <c r="Z15" s="2">
        <v>0</v>
      </c>
      <c r="AA15" s="5">
        <v>0</v>
      </c>
      <c r="AB15" s="5">
        <v>0</v>
      </c>
      <c r="AC15">
        <f t="shared" si="5"/>
        <v>0</v>
      </c>
      <c r="AD15" s="2">
        <v>0</v>
      </c>
      <c r="AE15" s="2">
        <v>0</v>
      </c>
      <c r="AF15" s="2">
        <v>0</v>
      </c>
      <c r="AG15" s="2">
        <v>0</v>
      </c>
      <c r="AH15" s="2">
        <v>0</v>
      </c>
      <c r="AI15" s="2">
        <v>0</v>
      </c>
      <c r="AJ15" s="2">
        <v>0</v>
      </c>
      <c r="AK15" s="2">
        <v>0</v>
      </c>
      <c r="AL15">
        <f t="shared" si="6"/>
        <v>1</v>
      </c>
      <c r="AM15" t="s">
        <v>140</v>
      </c>
    </row>
    <row r="16" spans="1:39" x14ac:dyDescent="0.35">
      <c r="A16">
        <v>58</v>
      </c>
      <c r="B16" t="s">
        <v>18</v>
      </c>
      <c r="C16">
        <v>-0.04</v>
      </c>
      <c r="D16" s="2">
        <v>60</v>
      </c>
      <c r="E16" t="s">
        <v>160</v>
      </c>
      <c r="F16" t="s">
        <v>55</v>
      </c>
      <c r="G16" t="s">
        <v>167</v>
      </c>
      <c r="H16">
        <v>0</v>
      </c>
      <c r="I16" s="13">
        <v>0</v>
      </c>
      <c r="J16">
        <v>1</v>
      </c>
      <c r="K16" s="2">
        <v>5</v>
      </c>
      <c r="L16">
        <v>5</v>
      </c>
      <c r="M16" s="2">
        <f t="shared" si="0"/>
        <v>0</v>
      </c>
      <c r="N16">
        <v>7</v>
      </c>
      <c r="O16">
        <v>7</v>
      </c>
      <c r="P16">
        <f t="shared" si="1"/>
        <v>0</v>
      </c>
      <c r="Q16">
        <v>2</v>
      </c>
      <c r="R16">
        <v>2</v>
      </c>
      <c r="S16">
        <f t="shared" si="2"/>
        <v>0</v>
      </c>
      <c r="T16">
        <v>1</v>
      </c>
      <c r="U16">
        <v>1</v>
      </c>
      <c r="V16">
        <f t="shared" si="3"/>
        <v>0</v>
      </c>
      <c r="W16">
        <v>0</v>
      </c>
      <c r="X16">
        <v>0</v>
      </c>
      <c r="Y16">
        <f t="shared" si="4"/>
        <v>0</v>
      </c>
      <c r="Z16" s="2">
        <v>0</v>
      </c>
      <c r="AA16" s="2">
        <v>0</v>
      </c>
      <c r="AB16" s="2">
        <v>0</v>
      </c>
      <c r="AC16">
        <f t="shared" si="5"/>
        <v>0</v>
      </c>
      <c r="AD16" s="2">
        <v>0</v>
      </c>
      <c r="AE16" s="2">
        <v>0</v>
      </c>
      <c r="AF16" s="2">
        <v>0</v>
      </c>
      <c r="AG16" s="2">
        <v>0</v>
      </c>
      <c r="AH16" s="2">
        <v>0</v>
      </c>
      <c r="AI16" s="2">
        <v>0</v>
      </c>
      <c r="AJ16" s="2">
        <v>1</v>
      </c>
      <c r="AK16" s="2">
        <v>0</v>
      </c>
      <c r="AL16">
        <f t="shared" si="6"/>
        <v>0</v>
      </c>
      <c r="AM16" t="s">
        <v>9</v>
      </c>
    </row>
    <row r="17" spans="1:39" x14ac:dyDescent="0.35">
      <c r="A17">
        <v>59</v>
      </c>
      <c r="B17" t="s">
        <v>16</v>
      </c>
      <c r="C17">
        <v>1.61</v>
      </c>
      <c r="D17" s="5">
        <v>41</v>
      </c>
      <c r="E17" t="s">
        <v>52</v>
      </c>
      <c r="F17" t="s">
        <v>56</v>
      </c>
      <c r="G17" t="s">
        <v>166</v>
      </c>
      <c r="H17">
        <v>0</v>
      </c>
      <c r="I17" s="13">
        <v>0</v>
      </c>
      <c r="J17">
        <v>2</v>
      </c>
      <c r="K17" s="2">
        <v>2</v>
      </c>
      <c r="L17">
        <v>2</v>
      </c>
      <c r="M17" s="2">
        <f t="shared" si="0"/>
        <v>0</v>
      </c>
      <c r="N17">
        <v>8</v>
      </c>
      <c r="O17">
        <v>8</v>
      </c>
      <c r="P17">
        <f t="shared" si="1"/>
        <v>0</v>
      </c>
      <c r="Q17">
        <v>1</v>
      </c>
      <c r="R17">
        <v>1</v>
      </c>
      <c r="S17">
        <f t="shared" si="2"/>
        <v>0</v>
      </c>
      <c r="T17">
        <v>1</v>
      </c>
      <c r="U17">
        <v>2</v>
      </c>
      <c r="V17">
        <f t="shared" si="3"/>
        <v>1</v>
      </c>
      <c r="W17">
        <v>1</v>
      </c>
      <c r="X17">
        <v>1</v>
      </c>
      <c r="Y17">
        <f t="shared" si="4"/>
        <v>0</v>
      </c>
      <c r="Z17" s="2">
        <v>0</v>
      </c>
      <c r="AA17" s="5">
        <v>0</v>
      </c>
      <c r="AB17" s="5">
        <v>0</v>
      </c>
      <c r="AC17">
        <f t="shared" si="5"/>
        <v>0</v>
      </c>
      <c r="AD17" s="2">
        <v>0</v>
      </c>
      <c r="AE17" s="2">
        <v>0</v>
      </c>
      <c r="AF17" s="2">
        <v>0</v>
      </c>
      <c r="AG17" s="2">
        <v>0</v>
      </c>
      <c r="AH17" s="2">
        <v>0</v>
      </c>
      <c r="AI17" s="2">
        <v>0</v>
      </c>
      <c r="AJ17" s="2">
        <v>0</v>
      </c>
      <c r="AK17" s="2">
        <v>1</v>
      </c>
      <c r="AL17">
        <f t="shared" si="6"/>
        <v>0</v>
      </c>
      <c r="AM17" s="9" t="s">
        <v>43</v>
      </c>
    </row>
    <row r="18" spans="1:39" x14ac:dyDescent="0.35">
      <c r="A18">
        <v>68</v>
      </c>
      <c r="B18" t="s">
        <v>18</v>
      </c>
      <c r="C18">
        <v>-0.04</v>
      </c>
      <c r="D18" s="2">
        <v>40</v>
      </c>
      <c r="E18" t="s">
        <v>160</v>
      </c>
      <c r="F18" t="s">
        <v>53</v>
      </c>
      <c r="G18" t="s">
        <v>166</v>
      </c>
      <c r="H18">
        <v>0</v>
      </c>
      <c r="I18" s="13">
        <v>0</v>
      </c>
      <c r="J18">
        <v>1</v>
      </c>
      <c r="K18" s="2">
        <v>1</v>
      </c>
      <c r="L18">
        <v>1</v>
      </c>
      <c r="M18" s="2">
        <f t="shared" si="0"/>
        <v>0</v>
      </c>
      <c r="N18">
        <v>6</v>
      </c>
      <c r="O18">
        <v>4</v>
      </c>
      <c r="P18">
        <f t="shared" si="1"/>
        <v>-2</v>
      </c>
      <c r="Q18">
        <v>1</v>
      </c>
      <c r="R18">
        <v>1</v>
      </c>
      <c r="S18">
        <f t="shared" si="2"/>
        <v>0</v>
      </c>
      <c r="T18">
        <v>3</v>
      </c>
      <c r="U18">
        <v>1</v>
      </c>
      <c r="V18">
        <f t="shared" si="3"/>
        <v>-2</v>
      </c>
      <c r="W18">
        <v>0</v>
      </c>
      <c r="X18">
        <v>0</v>
      </c>
      <c r="Y18">
        <f t="shared" si="4"/>
        <v>0</v>
      </c>
      <c r="Z18" s="2">
        <v>0</v>
      </c>
      <c r="AA18" s="2">
        <v>0</v>
      </c>
      <c r="AB18" s="2">
        <v>1</v>
      </c>
      <c r="AC18">
        <f t="shared" si="5"/>
        <v>1</v>
      </c>
      <c r="AD18" s="2">
        <v>0</v>
      </c>
      <c r="AE18" s="2">
        <v>1</v>
      </c>
      <c r="AF18" s="2">
        <v>0</v>
      </c>
      <c r="AG18" s="2">
        <v>1</v>
      </c>
      <c r="AH18" s="2">
        <v>0</v>
      </c>
      <c r="AI18" s="2">
        <v>1</v>
      </c>
      <c r="AJ18" s="2">
        <v>0</v>
      </c>
      <c r="AK18" s="2">
        <v>1</v>
      </c>
      <c r="AL18">
        <f t="shared" si="6"/>
        <v>0</v>
      </c>
      <c r="AM18" t="s">
        <v>47</v>
      </c>
    </row>
    <row r="19" spans="1:39" x14ac:dyDescent="0.35">
      <c r="A19">
        <v>72</v>
      </c>
      <c r="B19" t="s">
        <v>18</v>
      </c>
      <c r="C19">
        <v>-0.04</v>
      </c>
      <c r="D19" s="2">
        <v>89</v>
      </c>
      <c r="E19" t="s">
        <v>160</v>
      </c>
      <c r="F19" t="s">
        <v>55</v>
      </c>
      <c r="G19" t="s">
        <v>166</v>
      </c>
      <c r="H19">
        <v>0</v>
      </c>
      <c r="I19" s="13">
        <v>0</v>
      </c>
      <c r="J19">
        <v>1</v>
      </c>
      <c r="K19" s="2">
        <v>3</v>
      </c>
      <c r="L19">
        <v>3</v>
      </c>
      <c r="M19" s="2">
        <f t="shared" si="0"/>
        <v>0</v>
      </c>
      <c r="N19">
        <v>8</v>
      </c>
      <c r="O19">
        <v>8</v>
      </c>
      <c r="P19">
        <f t="shared" si="1"/>
        <v>0</v>
      </c>
      <c r="Q19">
        <v>2</v>
      </c>
      <c r="R19">
        <v>2</v>
      </c>
      <c r="S19">
        <f t="shared" si="2"/>
        <v>0</v>
      </c>
      <c r="T19">
        <v>1</v>
      </c>
      <c r="U19">
        <v>1</v>
      </c>
      <c r="V19">
        <f t="shared" si="3"/>
        <v>0</v>
      </c>
      <c r="W19">
        <v>1</v>
      </c>
      <c r="X19">
        <v>1</v>
      </c>
      <c r="Y19">
        <f t="shared" si="4"/>
        <v>0</v>
      </c>
      <c r="Z19" s="2">
        <v>0</v>
      </c>
      <c r="AA19" s="2">
        <v>0</v>
      </c>
      <c r="AB19" s="2">
        <v>0</v>
      </c>
      <c r="AC19">
        <f t="shared" si="5"/>
        <v>0</v>
      </c>
      <c r="AD19" s="2">
        <v>0</v>
      </c>
      <c r="AE19" s="2">
        <v>0</v>
      </c>
      <c r="AF19" s="2">
        <v>0</v>
      </c>
      <c r="AG19" s="2">
        <v>0</v>
      </c>
      <c r="AH19" s="2">
        <v>0</v>
      </c>
      <c r="AI19" s="2">
        <v>0</v>
      </c>
      <c r="AJ19" s="2">
        <v>0</v>
      </c>
      <c r="AK19" s="2">
        <v>0</v>
      </c>
      <c r="AL19">
        <f t="shared" si="6"/>
        <v>1</v>
      </c>
      <c r="AM19" t="s">
        <v>140</v>
      </c>
    </row>
    <row r="20" spans="1:39" x14ac:dyDescent="0.35">
      <c r="A20">
        <v>78</v>
      </c>
      <c r="B20" t="s">
        <v>16</v>
      </c>
      <c r="C20">
        <v>1.61</v>
      </c>
      <c r="D20" s="2">
        <v>30</v>
      </c>
      <c r="E20" t="s">
        <v>52</v>
      </c>
      <c r="F20" t="s">
        <v>59</v>
      </c>
      <c r="G20" t="s">
        <v>167</v>
      </c>
      <c r="H20">
        <v>0</v>
      </c>
      <c r="I20" s="13">
        <v>0</v>
      </c>
      <c r="J20">
        <v>2</v>
      </c>
      <c r="K20" s="2">
        <v>10</v>
      </c>
      <c r="L20">
        <v>10</v>
      </c>
      <c r="M20" s="2">
        <f t="shared" ref="M20:M42" si="7">L20-K20</f>
        <v>0</v>
      </c>
      <c r="N20">
        <v>9</v>
      </c>
      <c r="O20">
        <v>8</v>
      </c>
      <c r="P20">
        <f t="shared" ref="P20:P42" si="8">O20-N20</f>
        <v>-1</v>
      </c>
      <c r="Q20">
        <v>1</v>
      </c>
      <c r="R20">
        <v>1</v>
      </c>
      <c r="S20">
        <f t="shared" ref="S20:S42" si="9">R20-Q20</f>
        <v>0</v>
      </c>
      <c r="T20">
        <v>1</v>
      </c>
      <c r="U20">
        <v>1</v>
      </c>
      <c r="V20">
        <f t="shared" ref="V20:V42" si="10">U20-T20</f>
        <v>0</v>
      </c>
      <c r="W20">
        <v>0</v>
      </c>
      <c r="X20">
        <v>0</v>
      </c>
      <c r="Y20">
        <f t="shared" ref="Y20:Y42" si="11">X20-W20</f>
        <v>0</v>
      </c>
      <c r="Z20" s="2">
        <v>0</v>
      </c>
      <c r="AA20" s="5">
        <v>0</v>
      </c>
      <c r="AB20" s="5">
        <v>0</v>
      </c>
      <c r="AC20">
        <f t="shared" ref="AC20:AC42" si="12">IF(AA20+AB20&gt;0,1,0)</f>
        <v>0</v>
      </c>
      <c r="AD20" s="2">
        <v>0</v>
      </c>
      <c r="AE20" s="2">
        <v>0</v>
      </c>
      <c r="AF20" s="2">
        <v>0</v>
      </c>
      <c r="AG20" s="2">
        <v>0</v>
      </c>
      <c r="AH20" s="2">
        <v>0</v>
      </c>
      <c r="AI20" s="2">
        <v>0</v>
      </c>
      <c r="AJ20" s="2">
        <v>0</v>
      </c>
      <c r="AK20" s="2">
        <v>0</v>
      </c>
      <c r="AL20">
        <f t="shared" ref="AL20:AL42" si="13">IF(Z20+AC20+AD20+AE20+AG20+AJ20+AK20=0,1,0)</f>
        <v>1</v>
      </c>
      <c r="AM20" t="s">
        <v>140</v>
      </c>
    </row>
    <row r="21" spans="1:39" x14ac:dyDescent="0.35">
      <c r="A21">
        <v>84</v>
      </c>
      <c r="B21" t="s">
        <v>164</v>
      </c>
      <c r="C21">
        <v>0.44</v>
      </c>
      <c r="D21" s="2">
        <v>12</v>
      </c>
      <c r="E21" t="s">
        <v>61</v>
      </c>
      <c r="F21" t="s">
        <v>56</v>
      </c>
      <c r="G21" t="s">
        <v>166</v>
      </c>
      <c r="H21">
        <v>0</v>
      </c>
      <c r="I21" s="13">
        <v>0</v>
      </c>
      <c r="J21">
        <v>2</v>
      </c>
      <c r="K21" s="2">
        <v>11</v>
      </c>
      <c r="L21">
        <v>11</v>
      </c>
      <c r="M21" s="2">
        <f t="shared" si="7"/>
        <v>0</v>
      </c>
      <c r="N21">
        <v>5</v>
      </c>
      <c r="O21">
        <v>5</v>
      </c>
      <c r="P21">
        <f t="shared" si="8"/>
        <v>0</v>
      </c>
      <c r="Q21">
        <v>2</v>
      </c>
      <c r="R21">
        <v>2</v>
      </c>
      <c r="S21">
        <f t="shared" si="9"/>
        <v>0</v>
      </c>
      <c r="T21">
        <v>1</v>
      </c>
      <c r="U21">
        <v>1</v>
      </c>
      <c r="V21">
        <f t="shared" si="10"/>
        <v>0</v>
      </c>
      <c r="W21">
        <v>1</v>
      </c>
      <c r="X21">
        <v>1</v>
      </c>
      <c r="Y21">
        <f t="shared" si="11"/>
        <v>0</v>
      </c>
      <c r="Z21" s="2">
        <v>0</v>
      </c>
      <c r="AA21" s="2">
        <v>0</v>
      </c>
      <c r="AB21" s="2">
        <v>0</v>
      </c>
      <c r="AC21">
        <f t="shared" si="12"/>
        <v>0</v>
      </c>
      <c r="AD21" s="2">
        <v>0</v>
      </c>
      <c r="AE21" s="2">
        <v>0</v>
      </c>
      <c r="AF21" s="2">
        <v>0</v>
      </c>
      <c r="AG21" s="2">
        <v>0</v>
      </c>
      <c r="AH21" s="2">
        <v>0</v>
      </c>
      <c r="AI21" s="2">
        <v>0</v>
      </c>
      <c r="AJ21" s="2">
        <v>0</v>
      </c>
      <c r="AK21" s="2">
        <v>0</v>
      </c>
      <c r="AL21">
        <f t="shared" si="13"/>
        <v>1</v>
      </c>
      <c r="AM21" t="s">
        <v>140</v>
      </c>
    </row>
    <row r="22" spans="1:39" x14ac:dyDescent="0.35">
      <c r="A22">
        <v>85</v>
      </c>
      <c r="B22" t="s">
        <v>18</v>
      </c>
      <c r="C22">
        <v>-0.04</v>
      </c>
      <c r="D22" s="2">
        <v>40</v>
      </c>
      <c r="E22" t="s">
        <v>62</v>
      </c>
      <c r="F22" t="s">
        <v>53</v>
      </c>
      <c r="G22" t="s">
        <v>166</v>
      </c>
      <c r="H22">
        <v>0</v>
      </c>
      <c r="I22" s="13">
        <v>0</v>
      </c>
      <c r="J22">
        <v>1</v>
      </c>
      <c r="K22" s="2">
        <v>1</v>
      </c>
      <c r="L22">
        <v>3</v>
      </c>
      <c r="M22" s="2">
        <f t="shared" si="7"/>
        <v>2</v>
      </c>
      <c r="N22">
        <v>9</v>
      </c>
      <c r="O22">
        <v>9</v>
      </c>
      <c r="P22">
        <f t="shared" si="8"/>
        <v>0</v>
      </c>
      <c r="Q22">
        <v>3</v>
      </c>
      <c r="R22">
        <v>3</v>
      </c>
      <c r="S22">
        <f t="shared" si="9"/>
        <v>0</v>
      </c>
      <c r="T22">
        <v>1</v>
      </c>
      <c r="U22">
        <v>1</v>
      </c>
      <c r="V22">
        <f t="shared" si="10"/>
        <v>0</v>
      </c>
      <c r="W22">
        <v>0</v>
      </c>
      <c r="X22">
        <v>0</v>
      </c>
      <c r="Y22">
        <f t="shared" si="11"/>
        <v>0</v>
      </c>
      <c r="Z22" s="2">
        <v>0</v>
      </c>
      <c r="AA22" s="2">
        <v>0</v>
      </c>
      <c r="AB22" s="2">
        <v>0</v>
      </c>
      <c r="AC22">
        <f t="shared" si="12"/>
        <v>0</v>
      </c>
      <c r="AD22" s="2">
        <v>0</v>
      </c>
      <c r="AE22" s="2">
        <v>1</v>
      </c>
      <c r="AF22" s="2">
        <v>0</v>
      </c>
      <c r="AG22" s="2">
        <v>0</v>
      </c>
      <c r="AH22" s="2">
        <v>0</v>
      </c>
      <c r="AI22" s="2">
        <v>1</v>
      </c>
      <c r="AJ22" s="2">
        <v>1</v>
      </c>
      <c r="AK22" s="2">
        <v>0</v>
      </c>
      <c r="AL22">
        <f t="shared" si="13"/>
        <v>0</v>
      </c>
      <c r="AM22" t="s">
        <v>6</v>
      </c>
    </row>
    <row r="23" spans="1:39" x14ac:dyDescent="0.35">
      <c r="A23">
        <v>86</v>
      </c>
      <c r="B23" t="s">
        <v>165</v>
      </c>
      <c r="C23">
        <v>1.47</v>
      </c>
      <c r="D23" s="2">
        <v>30</v>
      </c>
      <c r="E23" t="s">
        <v>162</v>
      </c>
      <c r="F23" t="s">
        <v>53</v>
      </c>
      <c r="G23" t="s">
        <v>166</v>
      </c>
      <c r="H23">
        <v>0</v>
      </c>
      <c r="I23" s="13">
        <v>0</v>
      </c>
      <c r="J23">
        <v>2</v>
      </c>
      <c r="K23" s="2">
        <v>4</v>
      </c>
      <c r="L23">
        <v>4</v>
      </c>
      <c r="M23" s="2">
        <f t="shared" si="7"/>
        <v>0</v>
      </c>
      <c r="N23">
        <v>6</v>
      </c>
      <c r="O23">
        <v>6</v>
      </c>
      <c r="P23">
        <f t="shared" si="8"/>
        <v>0</v>
      </c>
      <c r="Q23">
        <v>2</v>
      </c>
      <c r="R23">
        <v>2</v>
      </c>
      <c r="S23">
        <f t="shared" si="9"/>
        <v>0</v>
      </c>
      <c r="T23">
        <v>3</v>
      </c>
      <c r="U23">
        <v>3</v>
      </c>
      <c r="V23">
        <f t="shared" si="10"/>
        <v>0</v>
      </c>
      <c r="W23">
        <v>1</v>
      </c>
      <c r="X23">
        <v>1</v>
      </c>
      <c r="Y23">
        <f t="shared" si="11"/>
        <v>0</v>
      </c>
      <c r="Z23" s="2">
        <v>0</v>
      </c>
      <c r="AA23" s="2">
        <v>0</v>
      </c>
      <c r="AB23" s="2">
        <v>0</v>
      </c>
      <c r="AC23">
        <f t="shared" si="12"/>
        <v>0</v>
      </c>
      <c r="AD23" s="2">
        <v>0</v>
      </c>
      <c r="AE23" s="2">
        <v>0</v>
      </c>
      <c r="AF23" s="2">
        <v>0</v>
      </c>
      <c r="AG23" s="2">
        <v>0</v>
      </c>
      <c r="AH23" s="2">
        <v>0</v>
      </c>
      <c r="AI23" s="2">
        <v>0</v>
      </c>
      <c r="AJ23" s="2">
        <v>0</v>
      </c>
      <c r="AK23" s="2">
        <v>0</v>
      </c>
      <c r="AL23">
        <f t="shared" si="13"/>
        <v>1</v>
      </c>
      <c r="AM23" t="s">
        <v>140</v>
      </c>
    </row>
    <row r="24" spans="1:39" x14ac:dyDescent="0.35">
      <c r="A24">
        <v>88</v>
      </c>
      <c r="B24" t="s">
        <v>16</v>
      </c>
      <c r="C24">
        <v>1.61</v>
      </c>
      <c r="D24" s="2">
        <v>147</v>
      </c>
      <c r="E24" t="s">
        <v>52</v>
      </c>
      <c r="F24" t="s">
        <v>53</v>
      </c>
      <c r="G24" t="s">
        <v>167</v>
      </c>
      <c r="H24">
        <v>0</v>
      </c>
      <c r="I24" s="13">
        <v>0</v>
      </c>
      <c r="J24">
        <v>2</v>
      </c>
      <c r="K24" s="2">
        <v>4</v>
      </c>
      <c r="L24">
        <v>4</v>
      </c>
      <c r="M24" s="2">
        <f t="shared" si="7"/>
        <v>0</v>
      </c>
      <c r="N24">
        <v>8</v>
      </c>
      <c r="O24">
        <v>8</v>
      </c>
      <c r="P24">
        <f t="shared" si="8"/>
        <v>0</v>
      </c>
      <c r="Q24">
        <v>2</v>
      </c>
      <c r="R24">
        <v>2</v>
      </c>
      <c r="S24">
        <f t="shared" si="9"/>
        <v>0</v>
      </c>
      <c r="T24">
        <v>1</v>
      </c>
      <c r="U24">
        <v>1</v>
      </c>
      <c r="V24">
        <f t="shared" si="10"/>
        <v>0</v>
      </c>
      <c r="W24">
        <v>1</v>
      </c>
      <c r="X24">
        <v>0</v>
      </c>
      <c r="Y24">
        <f t="shared" si="11"/>
        <v>-1</v>
      </c>
      <c r="Z24" s="2">
        <v>0</v>
      </c>
      <c r="AA24" s="2">
        <v>0</v>
      </c>
      <c r="AB24" s="2">
        <v>0</v>
      </c>
      <c r="AC24">
        <f t="shared" si="12"/>
        <v>0</v>
      </c>
      <c r="AD24" s="2">
        <v>0</v>
      </c>
      <c r="AE24" s="2">
        <v>0</v>
      </c>
      <c r="AF24" s="2">
        <v>0</v>
      </c>
      <c r="AG24" s="2">
        <v>0</v>
      </c>
      <c r="AH24" s="2">
        <v>0</v>
      </c>
      <c r="AI24" s="2">
        <v>0</v>
      </c>
      <c r="AJ24" s="2">
        <v>0</v>
      </c>
      <c r="AK24" s="2">
        <v>0</v>
      </c>
      <c r="AL24">
        <f t="shared" si="13"/>
        <v>1</v>
      </c>
      <c r="AM24" t="s">
        <v>140</v>
      </c>
    </row>
    <row r="25" spans="1:39" x14ac:dyDescent="0.35">
      <c r="A25">
        <v>94</v>
      </c>
      <c r="B25" t="s">
        <v>164</v>
      </c>
      <c r="C25">
        <v>0.44</v>
      </c>
      <c r="D25" s="2">
        <v>15</v>
      </c>
      <c r="E25" t="s">
        <v>61</v>
      </c>
      <c r="F25" t="s">
        <v>56</v>
      </c>
      <c r="G25" t="s">
        <v>167</v>
      </c>
      <c r="H25">
        <v>0</v>
      </c>
      <c r="I25" s="13">
        <v>0</v>
      </c>
      <c r="J25">
        <v>2</v>
      </c>
      <c r="K25" s="2">
        <v>4</v>
      </c>
      <c r="L25">
        <v>4</v>
      </c>
      <c r="M25" s="2">
        <f t="shared" si="7"/>
        <v>0</v>
      </c>
      <c r="N25">
        <v>1</v>
      </c>
      <c r="O25">
        <v>1</v>
      </c>
      <c r="P25">
        <f t="shared" si="8"/>
        <v>0</v>
      </c>
      <c r="Q25">
        <v>2</v>
      </c>
      <c r="R25">
        <v>2</v>
      </c>
      <c r="S25">
        <f t="shared" si="9"/>
        <v>0</v>
      </c>
      <c r="T25">
        <v>5</v>
      </c>
      <c r="U25">
        <v>5</v>
      </c>
      <c r="V25">
        <f t="shared" si="10"/>
        <v>0</v>
      </c>
      <c r="W25">
        <v>0</v>
      </c>
      <c r="X25">
        <v>1</v>
      </c>
      <c r="Y25">
        <f t="shared" si="11"/>
        <v>1</v>
      </c>
      <c r="Z25" s="2">
        <v>0</v>
      </c>
      <c r="AA25" s="2">
        <v>0</v>
      </c>
      <c r="AB25" s="2">
        <v>0</v>
      </c>
      <c r="AC25">
        <f t="shared" si="12"/>
        <v>0</v>
      </c>
      <c r="AD25" s="2">
        <v>1</v>
      </c>
      <c r="AE25" s="2">
        <v>1</v>
      </c>
      <c r="AF25" s="2">
        <v>0</v>
      </c>
      <c r="AG25" s="2">
        <v>0</v>
      </c>
      <c r="AH25" s="2">
        <v>0</v>
      </c>
      <c r="AI25" s="2">
        <v>1</v>
      </c>
      <c r="AJ25" s="2">
        <v>1</v>
      </c>
      <c r="AK25" s="2">
        <v>0</v>
      </c>
      <c r="AL25">
        <f t="shared" si="13"/>
        <v>0</v>
      </c>
      <c r="AM25" t="s">
        <v>6</v>
      </c>
    </row>
    <row r="26" spans="1:39" x14ac:dyDescent="0.35">
      <c r="A26">
        <v>95</v>
      </c>
      <c r="B26" t="s">
        <v>18</v>
      </c>
      <c r="C26">
        <v>-0.04</v>
      </c>
      <c r="D26" s="2">
        <v>94</v>
      </c>
      <c r="E26" t="s">
        <v>160</v>
      </c>
      <c r="F26" t="s">
        <v>56</v>
      </c>
      <c r="G26" t="s">
        <v>166</v>
      </c>
      <c r="H26">
        <v>0</v>
      </c>
      <c r="I26" s="13">
        <v>0</v>
      </c>
      <c r="J26">
        <v>1</v>
      </c>
      <c r="K26" s="2">
        <v>6</v>
      </c>
      <c r="L26">
        <v>6</v>
      </c>
      <c r="M26" s="2">
        <f t="shared" si="7"/>
        <v>0</v>
      </c>
      <c r="N26">
        <v>9</v>
      </c>
      <c r="O26">
        <v>9</v>
      </c>
      <c r="P26">
        <f t="shared" si="8"/>
        <v>0</v>
      </c>
      <c r="Q26">
        <v>2</v>
      </c>
      <c r="R26">
        <v>2</v>
      </c>
      <c r="S26">
        <f t="shared" si="9"/>
        <v>0</v>
      </c>
      <c r="T26">
        <v>3</v>
      </c>
      <c r="U26">
        <v>1</v>
      </c>
      <c r="V26">
        <f t="shared" si="10"/>
        <v>-2</v>
      </c>
      <c r="W26">
        <v>0</v>
      </c>
      <c r="X26">
        <v>1</v>
      </c>
      <c r="Y26">
        <f t="shared" si="11"/>
        <v>1</v>
      </c>
      <c r="Z26" s="2">
        <v>0</v>
      </c>
      <c r="AA26" s="2">
        <v>0</v>
      </c>
      <c r="AB26" s="2">
        <v>0</v>
      </c>
      <c r="AC26">
        <f t="shared" si="12"/>
        <v>0</v>
      </c>
      <c r="AD26" s="2">
        <v>0</v>
      </c>
      <c r="AE26" s="2">
        <v>1</v>
      </c>
      <c r="AF26" s="2">
        <v>0</v>
      </c>
      <c r="AG26" s="2">
        <v>1</v>
      </c>
      <c r="AH26" s="2">
        <v>0</v>
      </c>
      <c r="AI26" s="2">
        <v>0</v>
      </c>
      <c r="AJ26" s="2">
        <v>1</v>
      </c>
      <c r="AK26" s="2">
        <v>0</v>
      </c>
      <c r="AL26">
        <f t="shared" si="13"/>
        <v>0</v>
      </c>
      <c r="AM26" t="s">
        <v>9</v>
      </c>
    </row>
    <row r="27" spans="1:39" x14ac:dyDescent="0.35">
      <c r="A27">
        <v>101</v>
      </c>
      <c r="B27" t="s">
        <v>18</v>
      </c>
      <c r="C27">
        <v>-0.04</v>
      </c>
      <c r="D27" s="2">
        <v>57</v>
      </c>
      <c r="E27" t="s">
        <v>160</v>
      </c>
      <c r="F27" t="s">
        <v>55</v>
      </c>
      <c r="G27" t="s">
        <v>166</v>
      </c>
      <c r="H27">
        <v>0</v>
      </c>
      <c r="I27" s="13">
        <v>0</v>
      </c>
      <c r="J27">
        <v>1</v>
      </c>
      <c r="K27" s="2">
        <v>2</v>
      </c>
      <c r="L27">
        <v>3</v>
      </c>
      <c r="M27" s="2">
        <f t="shared" si="7"/>
        <v>1</v>
      </c>
      <c r="N27">
        <v>7</v>
      </c>
      <c r="O27">
        <v>7</v>
      </c>
      <c r="P27">
        <f t="shared" si="8"/>
        <v>0</v>
      </c>
      <c r="Q27">
        <v>1</v>
      </c>
      <c r="R27">
        <v>1</v>
      </c>
      <c r="S27">
        <f t="shared" si="9"/>
        <v>0</v>
      </c>
      <c r="T27">
        <v>3</v>
      </c>
      <c r="U27">
        <v>2</v>
      </c>
      <c r="V27">
        <f t="shared" si="10"/>
        <v>-1</v>
      </c>
      <c r="W27">
        <v>1</v>
      </c>
      <c r="X27">
        <v>0</v>
      </c>
      <c r="Y27">
        <f t="shared" si="11"/>
        <v>-1</v>
      </c>
      <c r="Z27" s="2">
        <v>0</v>
      </c>
      <c r="AA27" s="2">
        <v>0</v>
      </c>
      <c r="AB27" s="2">
        <v>0</v>
      </c>
      <c r="AC27">
        <f t="shared" si="12"/>
        <v>0</v>
      </c>
      <c r="AD27" s="2">
        <v>0</v>
      </c>
      <c r="AE27" s="2">
        <v>1</v>
      </c>
      <c r="AF27" s="2">
        <v>0</v>
      </c>
      <c r="AG27" s="2">
        <v>1</v>
      </c>
      <c r="AH27" s="2">
        <v>0</v>
      </c>
      <c r="AI27" s="2">
        <v>0</v>
      </c>
      <c r="AJ27" s="2">
        <v>1</v>
      </c>
      <c r="AK27" s="2">
        <v>0</v>
      </c>
      <c r="AL27">
        <f t="shared" si="13"/>
        <v>0</v>
      </c>
      <c r="AM27" t="s">
        <v>6</v>
      </c>
    </row>
    <row r="28" spans="1:39" x14ac:dyDescent="0.35">
      <c r="A28">
        <v>103</v>
      </c>
      <c r="B28" t="s">
        <v>18</v>
      </c>
      <c r="C28">
        <v>-0.04</v>
      </c>
      <c r="D28" s="2">
        <v>98</v>
      </c>
      <c r="E28" t="s">
        <v>160</v>
      </c>
      <c r="F28" t="s">
        <v>53</v>
      </c>
      <c r="G28" t="s">
        <v>166</v>
      </c>
      <c r="H28">
        <v>0</v>
      </c>
      <c r="I28" s="13">
        <v>0</v>
      </c>
      <c r="J28">
        <v>1</v>
      </c>
      <c r="K28" s="2">
        <v>1</v>
      </c>
      <c r="L28">
        <v>1</v>
      </c>
      <c r="M28" s="2">
        <f t="shared" si="7"/>
        <v>0</v>
      </c>
      <c r="Q28">
        <v>2</v>
      </c>
      <c r="R28">
        <v>2</v>
      </c>
      <c r="S28">
        <f t="shared" si="9"/>
        <v>0</v>
      </c>
      <c r="T28">
        <v>2</v>
      </c>
      <c r="U28">
        <v>2</v>
      </c>
      <c r="V28">
        <f t="shared" si="10"/>
        <v>0</v>
      </c>
      <c r="W28">
        <v>1</v>
      </c>
      <c r="X28">
        <v>1</v>
      </c>
      <c r="Y28">
        <f t="shared" si="11"/>
        <v>0</v>
      </c>
      <c r="Z28" s="2">
        <v>0</v>
      </c>
      <c r="AA28" s="2">
        <v>0</v>
      </c>
      <c r="AB28" s="2">
        <v>0</v>
      </c>
      <c r="AC28">
        <f t="shared" si="12"/>
        <v>0</v>
      </c>
      <c r="AD28" s="2">
        <v>0</v>
      </c>
      <c r="AE28" s="2">
        <v>1</v>
      </c>
      <c r="AF28" s="2">
        <v>0</v>
      </c>
      <c r="AG28" s="2">
        <v>0</v>
      </c>
      <c r="AH28" s="2">
        <v>0</v>
      </c>
      <c r="AI28" s="2">
        <v>0</v>
      </c>
      <c r="AJ28" s="2">
        <v>1</v>
      </c>
      <c r="AK28" s="2">
        <v>0</v>
      </c>
      <c r="AL28">
        <f t="shared" si="13"/>
        <v>0</v>
      </c>
      <c r="AM28" t="s">
        <v>140</v>
      </c>
    </row>
    <row r="29" spans="1:39" x14ac:dyDescent="0.35">
      <c r="A29">
        <v>104</v>
      </c>
      <c r="B29" t="s">
        <v>16</v>
      </c>
      <c r="C29">
        <v>1.61</v>
      </c>
      <c r="D29" s="2">
        <v>7</v>
      </c>
      <c r="E29" t="s">
        <v>52</v>
      </c>
      <c r="F29" t="s">
        <v>56</v>
      </c>
      <c r="G29" t="s">
        <v>166</v>
      </c>
      <c r="H29">
        <v>0</v>
      </c>
      <c r="I29" s="13">
        <v>0</v>
      </c>
      <c r="J29">
        <v>2</v>
      </c>
      <c r="K29" s="2">
        <v>3</v>
      </c>
      <c r="L29">
        <v>3</v>
      </c>
      <c r="M29" s="2">
        <f t="shared" si="7"/>
        <v>0</v>
      </c>
      <c r="N29">
        <v>6</v>
      </c>
      <c r="O29">
        <v>6</v>
      </c>
      <c r="P29">
        <f t="shared" si="8"/>
        <v>0</v>
      </c>
      <c r="Q29">
        <v>2</v>
      </c>
      <c r="R29">
        <v>2</v>
      </c>
      <c r="S29">
        <f t="shared" si="9"/>
        <v>0</v>
      </c>
      <c r="T29">
        <v>2</v>
      </c>
      <c r="U29">
        <v>2</v>
      </c>
      <c r="V29">
        <f t="shared" si="10"/>
        <v>0</v>
      </c>
      <c r="W29">
        <v>1</v>
      </c>
      <c r="X29">
        <v>1</v>
      </c>
      <c r="Y29">
        <f t="shared" si="11"/>
        <v>0</v>
      </c>
      <c r="Z29" s="2">
        <v>0</v>
      </c>
      <c r="AA29" s="2">
        <v>0</v>
      </c>
      <c r="AB29" s="2">
        <v>0</v>
      </c>
      <c r="AC29">
        <f t="shared" si="12"/>
        <v>0</v>
      </c>
      <c r="AD29" s="2">
        <v>0</v>
      </c>
      <c r="AE29" s="2">
        <v>1</v>
      </c>
      <c r="AF29" s="2">
        <v>0</v>
      </c>
      <c r="AG29" s="2">
        <v>1</v>
      </c>
      <c r="AH29" s="2">
        <v>0</v>
      </c>
      <c r="AI29" s="2">
        <v>0</v>
      </c>
      <c r="AJ29" s="2">
        <v>1</v>
      </c>
      <c r="AK29" s="2">
        <v>0</v>
      </c>
      <c r="AL29">
        <f t="shared" si="13"/>
        <v>0</v>
      </c>
      <c r="AM29" t="s">
        <v>6</v>
      </c>
    </row>
    <row r="30" spans="1:39" x14ac:dyDescent="0.35">
      <c r="A30">
        <v>105</v>
      </c>
      <c r="B30" t="s">
        <v>165</v>
      </c>
      <c r="C30">
        <v>1.47</v>
      </c>
      <c r="D30" s="5">
        <v>26</v>
      </c>
      <c r="E30" t="s">
        <v>162</v>
      </c>
      <c r="F30" t="s">
        <v>59</v>
      </c>
      <c r="G30" t="s">
        <v>166</v>
      </c>
      <c r="H30">
        <v>0</v>
      </c>
      <c r="I30" s="13">
        <v>0</v>
      </c>
      <c r="J30">
        <v>2</v>
      </c>
      <c r="K30" s="2">
        <v>4</v>
      </c>
      <c r="L30">
        <v>4</v>
      </c>
      <c r="M30" s="2">
        <f t="shared" si="7"/>
        <v>0</v>
      </c>
      <c r="N30">
        <v>3</v>
      </c>
      <c r="O30">
        <v>3</v>
      </c>
      <c r="P30">
        <f t="shared" si="8"/>
        <v>0</v>
      </c>
      <c r="Q30">
        <v>1</v>
      </c>
      <c r="R30">
        <v>1</v>
      </c>
      <c r="S30">
        <f t="shared" si="9"/>
        <v>0</v>
      </c>
      <c r="T30">
        <v>1</v>
      </c>
      <c r="U30">
        <v>1</v>
      </c>
      <c r="V30">
        <f t="shared" si="10"/>
        <v>0</v>
      </c>
      <c r="W30">
        <v>0</v>
      </c>
      <c r="X30">
        <v>0</v>
      </c>
      <c r="Y30">
        <f t="shared" si="11"/>
        <v>0</v>
      </c>
      <c r="Z30" s="2">
        <v>0</v>
      </c>
      <c r="AA30" s="2">
        <v>0</v>
      </c>
      <c r="AB30" s="2">
        <v>0</v>
      </c>
      <c r="AC30">
        <f t="shared" si="12"/>
        <v>0</v>
      </c>
      <c r="AD30" s="2">
        <v>1</v>
      </c>
      <c r="AE30" s="2">
        <v>0</v>
      </c>
      <c r="AF30" s="2">
        <v>0</v>
      </c>
      <c r="AG30" s="2">
        <v>1</v>
      </c>
      <c r="AH30" s="2">
        <v>0</v>
      </c>
      <c r="AI30" s="2">
        <v>0</v>
      </c>
      <c r="AJ30" s="2">
        <v>0</v>
      </c>
      <c r="AK30" s="2">
        <v>0</v>
      </c>
      <c r="AL30">
        <f t="shared" si="13"/>
        <v>0</v>
      </c>
      <c r="AM30" s="9" t="s">
        <v>39</v>
      </c>
    </row>
    <row r="31" spans="1:39" x14ac:dyDescent="0.35">
      <c r="A31">
        <v>106</v>
      </c>
      <c r="B31" t="s">
        <v>16</v>
      </c>
      <c r="C31">
        <v>1.61</v>
      </c>
      <c r="D31" s="2">
        <v>3</v>
      </c>
      <c r="E31" t="s">
        <v>52</v>
      </c>
      <c r="F31" t="s">
        <v>53</v>
      </c>
      <c r="G31" t="s">
        <v>166</v>
      </c>
      <c r="H31">
        <v>0</v>
      </c>
      <c r="I31" s="13">
        <v>0</v>
      </c>
      <c r="J31">
        <v>1</v>
      </c>
      <c r="K31" s="2">
        <v>4</v>
      </c>
      <c r="L31">
        <v>4</v>
      </c>
      <c r="M31" s="2">
        <f t="shared" si="7"/>
        <v>0</v>
      </c>
      <c r="N31">
        <v>8</v>
      </c>
      <c r="O31">
        <v>8</v>
      </c>
      <c r="P31">
        <f t="shared" si="8"/>
        <v>0</v>
      </c>
      <c r="Q31">
        <v>3</v>
      </c>
      <c r="R31">
        <v>3</v>
      </c>
      <c r="S31">
        <f t="shared" si="9"/>
        <v>0</v>
      </c>
      <c r="T31">
        <v>2</v>
      </c>
      <c r="U31">
        <v>2</v>
      </c>
      <c r="V31">
        <f t="shared" si="10"/>
        <v>0</v>
      </c>
      <c r="W31">
        <v>2</v>
      </c>
      <c r="X31">
        <v>1</v>
      </c>
      <c r="Y31">
        <f t="shared" si="11"/>
        <v>-1</v>
      </c>
      <c r="Z31" s="2">
        <v>0</v>
      </c>
      <c r="AA31" s="2">
        <v>0</v>
      </c>
      <c r="AB31" s="2">
        <v>0</v>
      </c>
      <c r="AC31">
        <f t="shared" si="12"/>
        <v>0</v>
      </c>
      <c r="AD31" s="2">
        <v>0</v>
      </c>
      <c r="AE31" s="2">
        <v>1</v>
      </c>
      <c r="AF31" s="2">
        <v>0</v>
      </c>
      <c r="AG31" s="2">
        <v>0</v>
      </c>
      <c r="AH31" s="2">
        <v>0</v>
      </c>
      <c r="AI31" s="2">
        <v>0</v>
      </c>
      <c r="AJ31" s="2">
        <v>0</v>
      </c>
      <c r="AK31" s="2">
        <v>0</v>
      </c>
      <c r="AL31">
        <f t="shared" si="13"/>
        <v>0</v>
      </c>
      <c r="AM31" t="s">
        <v>140</v>
      </c>
    </row>
    <row r="32" spans="1:39" x14ac:dyDescent="0.35">
      <c r="A32">
        <v>110</v>
      </c>
      <c r="B32" t="s">
        <v>14</v>
      </c>
      <c r="C32">
        <v>1.42</v>
      </c>
      <c r="D32" s="2">
        <v>15</v>
      </c>
      <c r="E32" t="s">
        <v>160</v>
      </c>
      <c r="F32" t="s">
        <v>56</v>
      </c>
      <c r="G32" t="s">
        <v>166</v>
      </c>
      <c r="H32">
        <v>0</v>
      </c>
      <c r="I32" s="13">
        <v>0</v>
      </c>
      <c r="J32">
        <v>1</v>
      </c>
      <c r="K32" s="2">
        <v>3</v>
      </c>
      <c r="L32">
        <v>3</v>
      </c>
      <c r="M32" s="2">
        <f t="shared" si="7"/>
        <v>0</v>
      </c>
      <c r="N32">
        <v>9</v>
      </c>
      <c r="O32">
        <v>8</v>
      </c>
      <c r="P32">
        <f t="shared" si="8"/>
        <v>-1</v>
      </c>
      <c r="Q32">
        <v>1</v>
      </c>
      <c r="R32">
        <v>1</v>
      </c>
      <c r="S32">
        <f t="shared" si="9"/>
        <v>0</v>
      </c>
      <c r="T32">
        <v>4</v>
      </c>
      <c r="U32">
        <v>1</v>
      </c>
      <c r="V32">
        <f t="shared" si="10"/>
        <v>-3</v>
      </c>
      <c r="W32">
        <v>1</v>
      </c>
      <c r="X32">
        <v>2</v>
      </c>
      <c r="Y32">
        <f t="shared" si="11"/>
        <v>1</v>
      </c>
      <c r="Z32" s="2">
        <v>0</v>
      </c>
      <c r="AA32" s="2">
        <v>0</v>
      </c>
      <c r="AB32" s="2">
        <v>0</v>
      </c>
      <c r="AC32">
        <f t="shared" si="12"/>
        <v>0</v>
      </c>
      <c r="AD32" s="2">
        <v>0</v>
      </c>
      <c r="AE32" s="2">
        <v>0</v>
      </c>
      <c r="AF32" s="2">
        <v>0</v>
      </c>
      <c r="AG32" s="2">
        <v>1</v>
      </c>
      <c r="AH32" s="2">
        <v>0</v>
      </c>
      <c r="AI32" s="2">
        <v>0</v>
      </c>
      <c r="AJ32" s="2">
        <v>0</v>
      </c>
      <c r="AK32" s="2">
        <v>1</v>
      </c>
      <c r="AL32">
        <f t="shared" si="13"/>
        <v>0</v>
      </c>
      <c r="AM32" t="s">
        <v>140</v>
      </c>
    </row>
    <row r="33" spans="1:39" x14ac:dyDescent="0.35">
      <c r="A33">
        <v>112</v>
      </c>
      <c r="B33" t="s">
        <v>16</v>
      </c>
      <c r="C33">
        <v>1.61</v>
      </c>
      <c r="D33" s="2">
        <v>118</v>
      </c>
      <c r="E33" t="s">
        <v>52</v>
      </c>
      <c r="F33" t="s">
        <v>55</v>
      </c>
      <c r="G33" t="s">
        <v>167</v>
      </c>
      <c r="H33">
        <v>0</v>
      </c>
      <c r="I33" s="13">
        <v>0</v>
      </c>
      <c r="J33">
        <v>2</v>
      </c>
      <c r="K33" s="2">
        <v>4</v>
      </c>
      <c r="L33">
        <v>4</v>
      </c>
      <c r="M33" s="2">
        <f t="shared" si="7"/>
        <v>0</v>
      </c>
      <c r="N33">
        <v>8</v>
      </c>
      <c r="O33">
        <v>8</v>
      </c>
      <c r="P33">
        <f t="shared" si="8"/>
        <v>0</v>
      </c>
      <c r="Q33">
        <v>2</v>
      </c>
      <c r="R33">
        <v>2</v>
      </c>
      <c r="S33">
        <f t="shared" si="9"/>
        <v>0</v>
      </c>
      <c r="T33">
        <v>1</v>
      </c>
      <c r="U33">
        <v>1</v>
      </c>
      <c r="V33">
        <f t="shared" si="10"/>
        <v>0</v>
      </c>
      <c r="W33">
        <v>2</v>
      </c>
      <c r="X33">
        <v>2</v>
      </c>
      <c r="Y33">
        <f t="shared" si="11"/>
        <v>0</v>
      </c>
      <c r="Z33" s="2">
        <v>0</v>
      </c>
      <c r="AA33" s="2">
        <v>0</v>
      </c>
      <c r="AB33" s="2">
        <v>0</v>
      </c>
      <c r="AC33">
        <f t="shared" si="12"/>
        <v>0</v>
      </c>
      <c r="AD33" s="2">
        <v>0</v>
      </c>
      <c r="AE33" s="2">
        <v>0</v>
      </c>
      <c r="AF33" s="2">
        <v>0</v>
      </c>
      <c r="AG33" s="2">
        <v>1</v>
      </c>
      <c r="AH33" s="2">
        <v>0</v>
      </c>
      <c r="AI33" s="2">
        <v>0</v>
      </c>
      <c r="AJ33" s="2">
        <v>1</v>
      </c>
      <c r="AK33" s="2">
        <v>0</v>
      </c>
      <c r="AL33">
        <f t="shared" si="13"/>
        <v>0</v>
      </c>
      <c r="AM33" t="s">
        <v>9</v>
      </c>
    </row>
    <row r="34" spans="1:39" x14ac:dyDescent="0.35">
      <c r="A34">
        <v>113</v>
      </c>
      <c r="B34" t="s">
        <v>16</v>
      </c>
      <c r="C34">
        <v>1.61</v>
      </c>
      <c r="D34" s="2">
        <v>50</v>
      </c>
      <c r="E34" t="s">
        <v>52</v>
      </c>
      <c r="F34" t="s">
        <v>53</v>
      </c>
      <c r="G34" t="s">
        <v>167</v>
      </c>
      <c r="H34">
        <v>0</v>
      </c>
      <c r="I34" s="13">
        <v>0</v>
      </c>
      <c r="J34">
        <v>2</v>
      </c>
      <c r="K34" s="2">
        <v>7</v>
      </c>
      <c r="L34">
        <v>8</v>
      </c>
      <c r="M34" s="2">
        <f t="shared" si="7"/>
        <v>1</v>
      </c>
      <c r="N34">
        <v>7</v>
      </c>
      <c r="O34">
        <v>7</v>
      </c>
      <c r="P34">
        <f t="shared" si="8"/>
        <v>0</v>
      </c>
      <c r="Q34">
        <v>2</v>
      </c>
      <c r="R34">
        <v>2</v>
      </c>
      <c r="S34">
        <f t="shared" si="9"/>
        <v>0</v>
      </c>
      <c r="T34">
        <v>1</v>
      </c>
      <c r="U34">
        <v>1</v>
      </c>
      <c r="V34">
        <f t="shared" si="10"/>
        <v>0</v>
      </c>
      <c r="W34">
        <v>0</v>
      </c>
      <c r="X34">
        <v>0</v>
      </c>
      <c r="Y34">
        <f t="shared" si="11"/>
        <v>0</v>
      </c>
      <c r="Z34" s="2">
        <v>0</v>
      </c>
      <c r="AA34" s="2">
        <v>0</v>
      </c>
      <c r="AB34" s="2">
        <v>0</v>
      </c>
      <c r="AC34">
        <f t="shared" si="12"/>
        <v>0</v>
      </c>
      <c r="AD34" s="2">
        <v>0</v>
      </c>
      <c r="AE34" s="2">
        <v>1</v>
      </c>
      <c r="AF34" s="2">
        <v>0</v>
      </c>
      <c r="AG34" s="2">
        <v>1</v>
      </c>
      <c r="AH34" s="2">
        <v>0</v>
      </c>
      <c r="AI34" s="2">
        <v>0</v>
      </c>
      <c r="AJ34" s="2">
        <v>1</v>
      </c>
      <c r="AK34" s="2">
        <v>0</v>
      </c>
      <c r="AL34">
        <f t="shared" si="13"/>
        <v>0</v>
      </c>
      <c r="AM34" t="s">
        <v>9</v>
      </c>
    </row>
    <row r="35" spans="1:39" x14ac:dyDescent="0.35">
      <c r="A35">
        <v>114</v>
      </c>
      <c r="B35" t="s">
        <v>127</v>
      </c>
      <c r="C35" s="9">
        <v>1.81</v>
      </c>
      <c r="D35" s="5">
        <v>28</v>
      </c>
      <c r="E35" t="s">
        <v>160</v>
      </c>
      <c r="F35" t="s">
        <v>53</v>
      </c>
      <c r="G35" t="s">
        <v>166</v>
      </c>
      <c r="H35">
        <v>0</v>
      </c>
      <c r="I35" s="13">
        <v>0</v>
      </c>
      <c r="J35">
        <v>1</v>
      </c>
      <c r="K35" s="2">
        <v>4</v>
      </c>
      <c r="L35">
        <v>4</v>
      </c>
      <c r="M35" s="2">
        <f t="shared" si="7"/>
        <v>0</v>
      </c>
      <c r="N35">
        <v>6</v>
      </c>
      <c r="O35">
        <v>6</v>
      </c>
      <c r="P35">
        <f t="shared" si="8"/>
        <v>0</v>
      </c>
      <c r="Q35">
        <v>1</v>
      </c>
      <c r="R35">
        <v>1</v>
      </c>
      <c r="S35">
        <f t="shared" si="9"/>
        <v>0</v>
      </c>
      <c r="T35">
        <v>3</v>
      </c>
      <c r="U35">
        <v>1</v>
      </c>
      <c r="V35">
        <f t="shared" si="10"/>
        <v>-2</v>
      </c>
      <c r="W35">
        <v>1</v>
      </c>
      <c r="X35">
        <v>1</v>
      </c>
      <c r="Y35">
        <f t="shared" si="11"/>
        <v>0</v>
      </c>
      <c r="Z35" s="2">
        <v>0</v>
      </c>
      <c r="AA35" s="2">
        <v>0</v>
      </c>
      <c r="AB35" s="2">
        <v>0</v>
      </c>
      <c r="AC35">
        <f t="shared" si="12"/>
        <v>0</v>
      </c>
      <c r="AD35" s="2">
        <v>0</v>
      </c>
      <c r="AE35" s="2">
        <v>1</v>
      </c>
      <c r="AF35" s="2">
        <v>0</v>
      </c>
      <c r="AG35" s="2">
        <v>1</v>
      </c>
      <c r="AH35" s="2">
        <v>0</v>
      </c>
      <c r="AI35" s="2">
        <v>0</v>
      </c>
      <c r="AJ35" s="2">
        <v>0</v>
      </c>
      <c r="AK35" s="2">
        <v>1</v>
      </c>
      <c r="AL35">
        <f t="shared" si="13"/>
        <v>0</v>
      </c>
      <c r="AM35" s="9" t="s">
        <v>6</v>
      </c>
    </row>
    <row r="36" spans="1:39" x14ac:dyDescent="0.35">
      <c r="A36">
        <v>116</v>
      </c>
      <c r="B36" t="s">
        <v>127</v>
      </c>
      <c r="C36" s="9">
        <v>1.81</v>
      </c>
      <c r="D36" s="2">
        <v>21</v>
      </c>
      <c r="E36" t="s">
        <v>141</v>
      </c>
      <c r="F36" t="s">
        <v>53</v>
      </c>
      <c r="G36" t="s">
        <v>166</v>
      </c>
      <c r="H36">
        <v>0</v>
      </c>
      <c r="I36" s="13">
        <v>0</v>
      </c>
      <c r="J36">
        <v>1</v>
      </c>
      <c r="K36" s="2">
        <v>4</v>
      </c>
      <c r="L36">
        <v>4</v>
      </c>
      <c r="M36" s="2">
        <f t="shared" si="7"/>
        <v>0</v>
      </c>
      <c r="N36">
        <v>6</v>
      </c>
      <c r="O36">
        <v>6</v>
      </c>
      <c r="P36">
        <f t="shared" si="8"/>
        <v>0</v>
      </c>
      <c r="Q36">
        <v>2</v>
      </c>
      <c r="R36">
        <v>2</v>
      </c>
      <c r="S36">
        <f t="shared" si="9"/>
        <v>0</v>
      </c>
      <c r="T36">
        <v>1</v>
      </c>
      <c r="U36">
        <v>1</v>
      </c>
      <c r="V36">
        <f t="shared" si="10"/>
        <v>0</v>
      </c>
      <c r="W36">
        <v>0</v>
      </c>
      <c r="X36">
        <v>0</v>
      </c>
      <c r="Y36">
        <f t="shared" si="11"/>
        <v>0</v>
      </c>
      <c r="Z36" s="2">
        <v>0</v>
      </c>
      <c r="AA36" s="2">
        <v>0</v>
      </c>
      <c r="AB36" s="2">
        <v>0</v>
      </c>
      <c r="AC36">
        <f t="shared" si="12"/>
        <v>0</v>
      </c>
      <c r="AD36" s="2">
        <v>0</v>
      </c>
      <c r="AE36" s="2">
        <v>0</v>
      </c>
      <c r="AF36" s="2">
        <v>0</v>
      </c>
      <c r="AG36" s="2">
        <v>1</v>
      </c>
      <c r="AH36" s="2">
        <v>0</v>
      </c>
      <c r="AI36" s="2">
        <v>0</v>
      </c>
      <c r="AJ36" s="2">
        <v>0</v>
      </c>
      <c r="AK36" s="2">
        <v>1</v>
      </c>
      <c r="AL36">
        <f t="shared" si="13"/>
        <v>0</v>
      </c>
      <c r="AM36" t="s">
        <v>43</v>
      </c>
    </row>
    <row r="37" spans="1:39" x14ac:dyDescent="0.35">
      <c r="A37">
        <v>117</v>
      </c>
      <c r="B37" t="s">
        <v>16</v>
      </c>
      <c r="C37">
        <v>1.61</v>
      </c>
      <c r="D37" s="2">
        <v>2</v>
      </c>
      <c r="E37" t="s">
        <v>52</v>
      </c>
      <c r="F37" t="s">
        <v>53</v>
      </c>
      <c r="G37" t="s">
        <v>166</v>
      </c>
      <c r="H37">
        <v>0</v>
      </c>
      <c r="I37" s="13">
        <v>0</v>
      </c>
      <c r="J37">
        <v>1</v>
      </c>
      <c r="K37" s="2">
        <v>5</v>
      </c>
      <c r="L37">
        <v>5</v>
      </c>
      <c r="M37" s="2">
        <f t="shared" si="7"/>
        <v>0</v>
      </c>
      <c r="N37">
        <v>9</v>
      </c>
      <c r="O37">
        <v>9</v>
      </c>
      <c r="P37">
        <f t="shared" si="8"/>
        <v>0</v>
      </c>
      <c r="Q37">
        <v>3</v>
      </c>
      <c r="R37">
        <v>3</v>
      </c>
      <c r="S37">
        <f t="shared" si="9"/>
        <v>0</v>
      </c>
      <c r="T37">
        <v>1</v>
      </c>
      <c r="U37">
        <v>1</v>
      </c>
      <c r="V37">
        <f t="shared" si="10"/>
        <v>0</v>
      </c>
      <c r="W37">
        <v>0</v>
      </c>
      <c r="X37">
        <v>0</v>
      </c>
      <c r="Y37">
        <f t="shared" si="11"/>
        <v>0</v>
      </c>
      <c r="Z37" s="2">
        <v>0</v>
      </c>
      <c r="AA37" s="2">
        <v>0</v>
      </c>
      <c r="AB37" s="2">
        <v>0</v>
      </c>
      <c r="AC37">
        <f t="shared" si="12"/>
        <v>0</v>
      </c>
      <c r="AD37" s="2">
        <v>0</v>
      </c>
      <c r="AE37" s="2">
        <v>0</v>
      </c>
      <c r="AF37" s="2">
        <v>0</v>
      </c>
      <c r="AG37" s="2">
        <v>0</v>
      </c>
      <c r="AH37" s="2">
        <v>0</v>
      </c>
      <c r="AI37" s="2">
        <v>0</v>
      </c>
      <c r="AJ37" s="2">
        <v>0</v>
      </c>
      <c r="AK37" s="2">
        <v>1</v>
      </c>
      <c r="AL37">
        <f t="shared" si="13"/>
        <v>0</v>
      </c>
      <c r="AM37" t="s">
        <v>43</v>
      </c>
    </row>
    <row r="38" spans="1:39" x14ac:dyDescent="0.35">
      <c r="A38">
        <v>127</v>
      </c>
      <c r="B38" t="s">
        <v>16</v>
      </c>
      <c r="C38">
        <v>1.61</v>
      </c>
      <c r="D38" s="2">
        <v>116</v>
      </c>
      <c r="E38" t="s">
        <v>52</v>
      </c>
      <c r="F38" t="s">
        <v>55</v>
      </c>
      <c r="G38" t="s">
        <v>166</v>
      </c>
      <c r="H38">
        <v>0</v>
      </c>
      <c r="I38" s="13">
        <v>0</v>
      </c>
      <c r="J38">
        <v>2</v>
      </c>
      <c r="K38" s="2">
        <v>5</v>
      </c>
      <c r="L38">
        <v>6</v>
      </c>
      <c r="M38" s="2">
        <f t="shared" si="7"/>
        <v>1</v>
      </c>
      <c r="N38">
        <v>10</v>
      </c>
      <c r="O38">
        <v>10</v>
      </c>
      <c r="P38">
        <f t="shared" si="8"/>
        <v>0</v>
      </c>
      <c r="Q38">
        <v>3</v>
      </c>
      <c r="R38">
        <v>3</v>
      </c>
      <c r="S38">
        <f t="shared" si="9"/>
        <v>0</v>
      </c>
      <c r="T38">
        <v>1</v>
      </c>
      <c r="U38">
        <v>1</v>
      </c>
      <c r="V38">
        <f t="shared" si="10"/>
        <v>0</v>
      </c>
      <c r="W38">
        <v>0</v>
      </c>
      <c r="X38">
        <v>0</v>
      </c>
      <c r="Y38">
        <f t="shared" si="11"/>
        <v>0</v>
      </c>
      <c r="Z38" s="2">
        <v>0</v>
      </c>
      <c r="AA38" s="2">
        <v>0</v>
      </c>
      <c r="AB38" s="2">
        <v>0</v>
      </c>
      <c r="AC38">
        <f t="shared" si="12"/>
        <v>0</v>
      </c>
      <c r="AD38" s="2">
        <v>0</v>
      </c>
      <c r="AE38" s="2">
        <v>0</v>
      </c>
      <c r="AF38" s="2">
        <v>0</v>
      </c>
      <c r="AG38" s="2">
        <v>0</v>
      </c>
      <c r="AH38" s="2">
        <v>0</v>
      </c>
      <c r="AI38" s="2">
        <v>0</v>
      </c>
      <c r="AJ38" s="2">
        <v>0</v>
      </c>
      <c r="AK38" s="2">
        <v>0</v>
      </c>
      <c r="AL38">
        <f t="shared" si="13"/>
        <v>1</v>
      </c>
      <c r="AM38" t="s">
        <v>140</v>
      </c>
    </row>
    <row r="39" spans="1:39" x14ac:dyDescent="0.35">
      <c r="A39">
        <v>131</v>
      </c>
      <c r="B39" t="s">
        <v>165</v>
      </c>
      <c r="C39">
        <v>1.47</v>
      </c>
      <c r="D39" s="2">
        <v>13</v>
      </c>
      <c r="E39" t="s">
        <v>162</v>
      </c>
      <c r="F39" t="s">
        <v>53</v>
      </c>
      <c r="G39" t="s">
        <v>166</v>
      </c>
      <c r="H39">
        <v>0</v>
      </c>
      <c r="I39" s="13">
        <v>0</v>
      </c>
      <c r="J39">
        <v>2</v>
      </c>
      <c r="K39" s="2">
        <v>3</v>
      </c>
      <c r="L39">
        <v>3</v>
      </c>
      <c r="M39" s="2">
        <f t="shared" si="7"/>
        <v>0</v>
      </c>
      <c r="N39">
        <v>5</v>
      </c>
      <c r="O39">
        <v>5</v>
      </c>
      <c r="P39">
        <f t="shared" si="8"/>
        <v>0</v>
      </c>
      <c r="Q39">
        <v>1</v>
      </c>
      <c r="R39">
        <v>1</v>
      </c>
      <c r="S39">
        <f t="shared" si="9"/>
        <v>0</v>
      </c>
      <c r="T39">
        <v>1</v>
      </c>
      <c r="U39">
        <v>1</v>
      </c>
      <c r="V39">
        <f t="shared" si="10"/>
        <v>0</v>
      </c>
      <c r="W39">
        <v>0</v>
      </c>
      <c r="X39">
        <v>0</v>
      </c>
      <c r="Y39">
        <f t="shared" si="11"/>
        <v>0</v>
      </c>
      <c r="Z39" s="2">
        <v>0</v>
      </c>
      <c r="AA39" s="2">
        <v>0</v>
      </c>
      <c r="AB39" s="2">
        <v>0</v>
      </c>
      <c r="AC39">
        <f t="shared" si="12"/>
        <v>0</v>
      </c>
      <c r="AD39" s="2">
        <v>0</v>
      </c>
      <c r="AE39" s="2">
        <v>0</v>
      </c>
      <c r="AF39" s="2">
        <v>0</v>
      </c>
      <c r="AG39" s="2">
        <v>0</v>
      </c>
      <c r="AH39" s="2">
        <v>0</v>
      </c>
      <c r="AI39" s="2">
        <v>0</v>
      </c>
      <c r="AJ39" s="2">
        <v>0</v>
      </c>
      <c r="AK39" s="2">
        <v>0</v>
      </c>
      <c r="AL39">
        <f t="shared" si="13"/>
        <v>1</v>
      </c>
      <c r="AM39" t="s">
        <v>140</v>
      </c>
    </row>
    <row r="40" spans="1:39" x14ac:dyDescent="0.35">
      <c r="A40">
        <v>133</v>
      </c>
      <c r="B40" t="s">
        <v>18</v>
      </c>
      <c r="C40">
        <v>-0.04</v>
      </c>
      <c r="D40" s="5">
        <v>40</v>
      </c>
      <c r="E40" t="s">
        <v>160</v>
      </c>
      <c r="F40" t="s">
        <v>56</v>
      </c>
      <c r="G40" t="s">
        <v>166</v>
      </c>
      <c r="H40">
        <v>0</v>
      </c>
      <c r="I40" s="13">
        <v>0</v>
      </c>
      <c r="J40">
        <v>1</v>
      </c>
      <c r="K40" s="2">
        <v>3</v>
      </c>
      <c r="L40">
        <v>3</v>
      </c>
      <c r="M40" s="2">
        <f t="shared" si="7"/>
        <v>0</v>
      </c>
      <c r="N40">
        <v>8</v>
      </c>
      <c r="O40">
        <v>8</v>
      </c>
      <c r="P40">
        <f t="shared" si="8"/>
        <v>0</v>
      </c>
      <c r="Q40">
        <v>3</v>
      </c>
      <c r="R40">
        <v>3</v>
      </c>
      <c r="S40">
        <f t="shared" si="9"/>
        <v>0</v>
      </c>
      <c r="T40">
        <v>1</v>
      </c>
      <c r="U40">
        <v>1</v>
      </c>
      <c r="V40">
        <f t="shared" si="10"/>
        <v>0</v>
      </c>
      <c r="W40">
        <v>-1</v>
      </c>
      <c r="X40">
        <v>-1</v>
      </c>
      <c r="Y40">
        <f t="shared" si="11"/>
        <v>0</v>
      </c>
      <c r="Z40" s="2">
        <v>0</v>
      </c>
      <c r="AA40" s="2">
        <v>0</v>
      </c>
      <c r="AB40" s="2">
        <v>0</v>
      </c>
      <c r="AC40">
        <f t="shared" si="12"/>
        <v>0</v>
      </c>
      <c r="AD40" s="2">
        <v>0</v>
      </c>
      <c r="AE40" s="2">
        <v>0</v>
      </c>
      <c r="AF40" s="2">
        <v>0</v>
      </c>
      <c r="AG40" s="2">
        <v>1</v>
      </c>
      <c r="AH40" s="2">
        <v>0</v>
      </c>
      <c r="AI40" s="2">
        <v>0</v>
      </c>
      <c r="AJ40" s="2">
        <v>0</v>
      </c>
      <c r="AK40" s="2">
        <v>0</v>
      </c>
      <c r="AL40">
        <f t="shared" si="13"/>
        <v>0</v>
      </c>
      <c r="AM40" s="9" t="s">
        <v>39</v>
      </c>
    </row>
    <row r="41" spans="1:39" x14ac:dyDescent="0.35">
      <c r="A41">
        <v>138</v>
      </c>
      <c r="B41" t="s">
        <v>18</v>
      </c>
      <c r="C41">
        <v>-0.04</v>
      </c>
      <c r="D41" s="2">
        <v>96</v>
      </c>
      <c r="E41" t="s">
        <v>160</v>
      </c>
      <c r="F41" t="s">
        <v>55</v>
      </c>
      <c r="G41" t="s">
        <v>166</v>
      </c>
      <c r="H41">
        <v>0</v>
      </c>
      <c r="I41" s="13">
        <v>0</v>
      </c>
      <c r="J41">
        <v>1</v>
      </c>
      <c r="K41" s="2">
        <v>4</v>
      </c>
      <c r="L41">
        <v>4</v>
      </c>
      <c r="M41" s="2">
        <f t="shared" si="7"/>
        <v>0</v>
      </c>
      <c r="N41">
        <v>6</v>
      </c>
      <c r="O41">
        <v>6</v>
      </c>
      <c r="P41">
        <f t="shared" si="8"/>
        <v>0</v>
      </c>
      <c r="Q41">
        <v>1</v>
      </c>
      <c r="R41">
        <v>1</v>
      </c>
      <c r="S41">
        <f t="shared" si="9"/>
        <v>0</v>
      </c>
      <c r="T41">
        <v>1</v>
      </c>
      <c r="U41">
        <v>1</v>
      </c>
      <c r="V41">
        <f t="shared" si="10"/>
        <v>0</v>
      </c>
      <c r="W41">
        <v>0</v>
      </c>
      <c r="X41">
        <v>1</v>
      </c>
      <c r="Y41">
        <f t="shared" si="11"/>
        <v>1</v>
      </c>
      <c r="Z41" s="2">
        <v>0</v>
      </c>
      <c r="AA41" s="2">
        <v>0</v>
      </c>
      <c r="AB41" s="2">
        <v>0</v>
      </c>
      <c r="AC41">
        <f t="shared" si="12"/>
        <v>0</v>
      </c>
      <c r="AD41" s="2">
        <v>0</v>
      </c>
      <c r="AE41" s="2">
        <v>0</v>
      </c>
      <c r="AF41" s="2">
        <v>0</v>
      </c>
      <c r="AG41" s="2">
        <v>0</v>
      </c>
      <c r="AH41" s="2">
        <v>0</v>
      </c>
      <c r="AI41" s="2">
        <v>0</v>
      </c>
      <c r="AJ41" s="2">
        <v>0</v>
      </c>
      <c r="AK41" s="2">
        <v>0</v>
      </c>
      <c r="AL41">
        <f t="shared" si="13"/>
        <v>1</v>
      </c>
      <c r="AM41" t="s">
        <v>140</v>
      </c>
    </row>
    <row r="42" spans="1:39" x14ac:dyDescent="0.35">
      <c r="A42">
        <v>143</v>
      </c>
      <c r="B42" t="s">
        <v>18</v>
      </c>
      <c r="C42">
        <v>-0.04</v>
      </c>
      <c r="D42" s="2">
        <v>103</v>
      </c>
      <c r="E42" t="s">
        <v>62</v>
      </c>
      <c r="F42" t="s">
        <v>53</v>
      </c>
      <c r="G42" t="s">
        <v>166</v>
      </c>
      <c r="H42">
        <v>0</v>
      </c>
      <c r="I42" s="13">
        <v>0</v>
      </c>
      <c r="J42">
        <v>1</v>
      </c>
      <c r="K42" s="2">
        <v>2</v>
      </c>
      <c r="L42">
        <v>3</v>
      </c>
      <c r="M42" s="2">
        <f t="shared" si="7"/>
        <v>1</v>
      </c>
      <c r="N42">
        <v>1</v>
      </c>
      <c r="O42">
        <v>1</v>
      </c>
      <c r="P42">
        <f t="shared" si="8"/>
        <v>0</v>
      </c>
      <c r="Q42">
        <v>2</v>
      </c>
      <c r="R42">
        <v>2</v>
      </c>
      <c r="S42">
        <f t="shared" si="9"/>
        <v>0</v>
      </c>
      <c r="T42">
        <v>1</v>
      </c>
      <c r="U42">
        <v>1</v>
      </c>
      <c r="V42">
        <f t="shared" si="10"/>
        <v>0</v>
      </c>
      <c r="W42">
        <v>1</v>
      </c>
      <c r="X42">
        <v>1</v>
      </c>
      <c r="Y42">
        <f t="shared" si="11"/>
        <v>0</v>
      </c>
      <c r="Z42" s="2">
        <v>1</v>
      </c>
      <c r="AA42" s="2">
        <v>0</v>
      </c>
      <c r="AB42" s="2">
        <v>0</v>
      </c>
      <c r="AC42">
        <f t="shared" si="12"/>
        <v>0</v>
      </c>
      <c r="AD42" s="2">
        <v>0</v>
      </c>
      <c r="AE42" s="2">
        <v>1</v>
      </c>
      <c r="AF42" s="2">
        <v>0</v>
      </c>
      <c r="AG42" s="2">
        <v>1</v>
      </c>
      <c r="AH42" s="2">
        <v>0</v>
      </c>
      <c r="AI42" s="2">
        <v>1</v>
      </c>
      <c r="AJ42" s="2">
        <v>1</v>
      </c>
      <c r="AK42" s="2">
        <v>0</v>
      </c>
      <c r="AL42">
        <f t="shared" si="13"/>
        <v>0</v>
      </c>
      <c r="AM42" t="s">
        <v>9</v>
      </c>
    </row>
    <row r="43" spans="1:39" x14ac:dyDescent="0.35">
      <c r="A43">
        <v>154</v>
      </c>
      <c r="B43" t="s">
        <v>14</v>
      </c>
      <c r="C43">
        <v>1.42</v>
      </c>
      <c r="D43" s="5">
        <v>4</v>
      </c>
      <c r="E43" t="s">
        <v>160</v>
      </c>
      <c r="F43" t="s">
        <v>55</v>
      </c>
      <c r="G43" t="s">
        <v>167</v>
      </c>
      <c r="H43">
        <v>0</v>
      </c>
      <c r="I43" s="13">
        <v>0</v>
      </c>
      <c r="J43">
        <v>1</v>
      </c>
      <c r="K43" s="2">
        <v>2</v>
      </c>
      <c r="L43">
        <v>2</v>
      </c>
      <c r="M43" s="2">
        <f t="shared" ref="M43:M56" si="14">L43-K43</f>
        <v>0</v>
      </c>
      <c r="N43">
        <v>10</v>
      </c>
      <c r="O43">
        <v>10</v>
      </c>
      <c r="P43">
        <f t="shared" ref="P43:P56" si="15">O43-N43</f>
        <v>0</v>
      </c>
      <c r="Q43">
        <v>1</v>
      </c>
      <c r="R43">
        <v>1</v>
      </c>
      <c r="S43">
        <f t="shared" ref="S43:S56" si="16">R43-Q43</f>
        <v>0</v>
      </c>
      <c r="T43">
        <v>3</v>
      </c>
      <c r="U43">
        <v>3</v>
      </c>
      <c r="V43">
        <f t="shared" ref="V43:V56" si="17">U43-T43</f>
        <v>0</v>
      </c>
      <c r="W43">
        <v>2</v>
      </c>
      <c r="X43">
        <v>2</v>
      </c>
      <c r="Y43">
        <f t="shared" ref="Y43:Y56" si="18">X43-W43</f>
        <v>0</v>
      </c>
      <c r="Z43" s="2">
        <v>0</v>
      </c>
      <c r="AA43" s="2">
        <v>0</v>
      </c>
      <c r="AB43" s="2">
        <v>0</v>
      </c>
      <c r="AC43" s="2">
        <f t="shared" ref="AC43:AC56" si="19">IF(AA43+AB43&gt;0,1,0)</f>
        <v>0</v>
      </c>
      <c r="AD43" s="2">
        <v>0</v>
      </c>
      <c r="AE43" s="2">
        <v>0</v>
      </c>
      <c r="AF43" s="2">
        <v>0</v>
      </c>
      <c r="AG43" s="2">
        <v>1</v>
      </c>
      <c r="AH43" s="2">
        <v>0</v>
      </c>
      <c r="AI43" s="2">
        <v>0</v>
      </c>
      <c r="AJ43" s="2">
        <v>0</v>
      </c>
      <c r="AK43" s="2">
        <v>1</v>
      </c>
      <c r="AL43">
        <f t="shared" ref="AL43:AL56" si="20">IF(Z43+AC43+AD43+AE43+AG43+AJ43+AK43=0,1,0)</f>
        <v>0</v>
      </c>
      <c r="AM43" s="9" t="s">
        <v>39</v>
      </c>
    </row>
    <row r="44" spans="1:39" x14ac:dyDescent="0.35">
      <c r="A44">
        <v>167</v>
      </c>
      <c r="B44" t="s">
        <v>18</v>
      </c>
      <c r="C44">
        <v>-0.04</v>
      </c>
      <c r="D44" s="2">
        <v>103</v>
      </c>
      <c r="E44" t="s">
        <v>62</v>
      </c>
      <c r="F44" t="s">
        <v>55</v>
      </c>
      <c r="G44" t="s">
        <v>166</v>
      </c>
      <c r="H44">
        <v>0</v>
      </c>
      <c r="I44" s="13">
        <v>0</v>
      </c>
      <c r="J44">
        <v>1</v>
      </c>
      <c r="K44" s="2">
        <v>4</v>
      </c>
      <c r="L44">
        <v>5</v>
      </c>
      <c r="M44" s="2">
        <f t="shared" si="14"/>
        <v>1</v>
      </c>
      <c r="N44" s="9">
        <v>9</v>
      </c>
      <c r="O44" s="9">
        <v>9</v>
      </c>
      <c r="P44">
        <f t="shared" si="15"/>
        <v>0</v>
      </c>
      <c r="Q44" s="9">
        <v>3</v>
      </c>
      <c r="R44" s="9">
        <v>3</v>
      </c>
      <c r="S44">
        <f t="shared" si="16"/>
        <v>0</v>
      </c>
      <c r="T44">
        <v>1</v>
      </c>
      <c r="U44">
        <v>1</v>
      </c>
      <c r="V44">
        <f t="shared" si="17"/>
        <v>0</v>
      </c>
      <c r="W44">
        <v>-1</v>
      </c>
      <c r="X44">
        <v>0</v>
      </c>
      <c r="Y44">
        <f t="shared" si="18"/>
        <v>1</v>
      </c>
      <c r="Z44" s="2">
        <v>0</v>
      </c>
      <c r="AA44" s="2">
        <v>0</v>
      </c>
      <c r="AB44" s="2">
        <v>0</v>
      </c>
      <c r="AC44" s="2">
        <f t="shared" si="19"/>
        <v>0</v>
      </c>
      <c r="AD44" s="2">
        <v>0</v>
      </c>
      <c r="AE44" s="2">
        <v>0</v>
      </c>
      <c r="AF44" s="2">
        <v>0</v>
      </c>
      <c r="AG44" s="2">
        <v>1</v>
      </c>
      <c r="AH44" s="2">
        <v>0</v>
      </c>
      <c r="AI44" s="2">
        <v>0</v>
      </c>
      <c r="AJ44" s="2">
        <v>0</v>
      </c>
      <c r="AK44" s="2">
        <v>0</v>
      </c>
      <c r="AL44">
        <f t="shared" si="20"/>
        <v>0</v>
      </c>
      <c r="AM44" t="s">
        <v>140</v>
      </c>
    </row>
    <row r="45" spans="1:39" x14ac:dyDescent="0.35">
      <c r="A45">
        <v>169</v>
      </c>
      <c r="B45" t="s">
        <v>16</v>
      </c>
      <c r="C45">
        <v>1.61</v>
      </c>
      <c r="D45" s="2">
        <v>71</v>
      </c>
      <c r="E45" t="s">
        <v>52</v>
      </c>
      <c r="F45" t="s">
        <v>56</v>
      </c>
      <c r="G45" t="s">
        <v>166</v>
      </c>
      <c r="H45">
        <v>0</v>
      </c>
      <c r="I45" s="13">
        <v>0</v>
      </c>
      <c r="J45">
        <v>2</v>
      </c>
      <c r="K45" s="2">
        <v>1</v>
      </c>
      <c r="L45">
        <v>1</v>
      </c>
      <c r="M45" s="2">
        <f t="shared" si="14"/>
        <v>0</v>
      </c>
      <c r="N45" s="9">
        <v>7</v>
      </c>
      <c r="O45" s="9">
        <v>8</v>
      </c>
      <c r="P45">
        <f t="shared" si="15"/>
        <v>1</v>
      </c>
      <c r="Q45" s="9">
        <v>1</v>
      </c>
      <c r="R45" s="9">
        <v>1</v>
      </c>
      <c r="S45">
        <f t="shared" si="16"/>
        <v>0</v>
      </c>
      <c r="T45">
        <v>1</v>
      </c>
      <c r="U45">
        <v>1</v>
      </c>
      <c r="V45">
        <f t="shared" si="17"/>
        <v>0</v>
      </c>
      <c r="W45">
        <v>2</v>
      </c>
      <c r="X45">
        <v>1</v>
      </c>
      <c r="Y45">
        <f t="shared" si="18"/>
        <v>-1</v>
      </c>
      <c r="Z45" s="2">
        <v>0</v>
      </c>
      <c r="AA45" s="2">
        <v>0</v>
      </c>
      <c r="AB45" s="2">
        <v>0</v>
      </c>
      <c r="AC45" s="2">
        <f t="shared" si="19"/>
        <v>0</v>
      </c>
      <c r="AD45" s="2">
        <v>0</v>
      </c>
      <c r="AE45" s="2">
        <v>0</v>
      </c>
      <c r="AF45" s="2">
        <v>0</v>
      </c>
      <c r="AG45" s="2">
        <v>1</v>
      </c>
      <c r="AH45" s="2">
        <v>0</v>
      </c>
      <c r="AI45" s="2">
        <v>0</v>
      </c>
      <c r="AJ45" s="2">
        <v>0</v>
      </c>
      <c r="AK45" s="2">
        <v>0</v>
      </c>
      <c r="AL45">
        <f t="shared" si="20"/>
        <v>0</v>
      </c>
      <c r="AM45" t="s">
        <v>140</v>
      </c>
    </row>
    <row r="46" spans="1:39" x14ac:dyDescent="0.35">
      <c r="A46">
        <v>173</v>
      </c>
      <c r="B46" t="s">
        <v>14</v>
      </c>
      <c r="C46">
        <v>1.42</v>
      </c>
      <c r="D46" s="2">
        <v>4</v>
      </c>
      <c r="E46" t="s">
        <v>160</v>
      </c>
      <c r="F46" t="s">
        <v>53</v>
      </c>
      <c r="G46" t="s">
        <v>166</v>
      </c>
      <c r="H46">
        <v>0</v>
      </c>
      <c r="I46" s="13">
        <v>0</v>
      </c>
      <c r="J46">
        <v>1</v>
      </c>
      <c r="K46" s="2">
        <v>3</v>
      </c>
      <c r="L46">
        <v>3</v>
      </c>
      <c r="M46" s="2">
        <f t="shared" si="14"/>
        <v>0</v>
      </c>
      <c r="N46" s="9">
        <v>10</v>
      </c>
      <c r="O46" s="9">
        <v>10</v>
      </c>
      <c r="P46">
        <f t="shared" si="15"/>
        <v>0</v>
      </c>
      <c r="Q46" s="9">
        <v>3</v>
      </c>
      <c r="R46" s="9">
        <v>3</v>
      </c>
      <c r="S46">
        <f t="shared" si="16"/>
        <v>0</v>
      </c>
      <c r="T46">
        <v>1</v>
      </c>
      <c r="U46">
        <v>1</v>
      </c>
      <c r="V46">
        <f t="shared" si="17"/>
        <v>0</v>
      </c>
      <c r="W46">
        <v>0</v>
      </c>
      <c r="X46">
        <v>0</v>
      </c>
      <c r="Y46">
        <f t="shared" si="18"/>
        <v>0</v>
      </c>
      <c r="Z46" s="2">
        <v>0</v>
      </c>
      <c r="AA46" s="2">
        <v>0</v>
      </c>
      <c r="AB46" s="2">
        <v>0</v>
      </c>
      <c r="AC46" s="2">
        <f t="shared" si="19"/>
        <v>0</v>
      </c>
      <c r="AD46" s="2">
        <v>0</v>
      </c>
      <c r="AE46" s="2">
        <v>0</v>
      </c>
      <c r="AF46" s="2">
        <v>0</v>
      </c>
      <c r="AG46" s="2">
        <v>0</v>
      </c>
      <c r="AH46" s="2">
        <v>0</v>
      </c>
      <c r="AI46" s="2">
        <v>0</v>
      </c>
      <c r="AJ46" s="2">
        <v>0</v>
      </c>
      <c r="AK46" s="2">
        <v>0</v>
      </c>
      <c r="AL46">
        <f t="shared" si="20"/>
        <v>1</v>
      </c>
      <c r="AM46" t="s">
        <v>140</v>
      </c>
    </row>
    <row r="47" spans="1:39" x14ac:dyDescent="0.35">
      <c r="A47">
        <v>177</v>
      </c>
      <c r="B47" t="s">
        <v>14</v>
      </c>
      <c r="C47">
        <v>1.42</v>
      </c>
      <c r="D47" s="2">
        <v>3</v>
      </c>
      <c r="E47" t="s">
        <v>160</v>
      </c>
      <c r="F47" t="s">
        <v>53</v>
      </c>
      <c r="G47" t="s">
        <v>166</v>
      </c>
      <c r="H47">
        <v>0</v>
      </c>
      <c r="I47" s="13">
        <v>0</v>
      </c>
      <c r="J47">
        <v>1</v>
      </c>
      <c r="K47" s="2">
        <v>5</v>
      </c>
      <c r="L47">
        <v>5</v>
      </c>
      <c r="M47" s="2">
        <f t="shared" si="14"/>
        <v>0</v>
      </c>
      <c r="N47" s="9">
        <v>7</v>
      </c>
      <c r="O47" s="9">
        <v>5</v>
      </c>
      <c r="P47">
        <f t="shared" si="15"/>
        <v>-2</v>
      </c>
      <c r="Q47" s="9">
        <v>1</v>
      </c>
      <c r="R47" s="9">
        <v>1</v>
      </c>
      <c r="S47">
        <f t="shared" si="16"/>
        <v>0</v>
      </c>
      <c r="T47">
        <v>5</v>
      </c>
      <c r="U47">
        <v>5</v>
      </c>
      <c r="V47">
        <f t="shared" si="17"/>
        <v>0</v>
      </c>
      <c r="W47">
        <v>1</v>
      </c>
      <c r="X47">
        <v>1</v>
      </c>
      <c r="Y47">
        <f t="shared" si="18"/>
        <v>0</v>
      </c>
      <c r="Z47" s="2">
        <v>0</v>
      </c>
      <c r="AA47" s="2">
        <v>0</v>
      </c>
      <c r="AB47" s="2">
        <v>0</v>
      </c>
      <c r="AC47" s="2">
        <f t="shared" si="19"/>
        <v>0</v>
      </c>
      <c r="AD47" s="2">
        <v>0</v>
      </c>
      <c r="AE47" s="2">
        <v>1</v>
      </c>
      <c r="AF47" s="2">
        <v>0</v>
      </c>
      <c r="AG47" s="2">
        <v>1</v>
      </c>
      <c r="AH47" s="2">
        <v>0</v>
      </c>
      <c r="AI47" s="2">
        <v>0</v>
      </c>
      <c r="AJ47" s="2">
        <v>1</v>
      </c>
      <c r="AK47" s="2">
        <v>0</v>
      </c>
      <c r="AL47">
        <f t="shared" si="20"/>
        <v>0</v>
      </c>
      <c r="AM47" t="s">
        <v>6</v>
      </c>
    </row>
    <row r="48" spans="1:39" x14ac:dyDescent="0.35">
      <c r="A48">
        <v>180</v>
      </c>
      <c r="B48" t="s">
        <v>165</v>
      </c>
      <c r="C48">
        <v>1.47</v>
      </c>
      <c r="D48" s="5">
        <v>14</v>
      </c>
      <c r="E48" t="s">
        <v>162</v>
      </c>
      <c r="F48" t="s">
        <v>56</v>
      </c>
      <c r="G48" t="s">
        <v>166</v>
      </c>
      <c r="H48">
        <v>0</v>
      </c>
      <c r="I48" s="13">
        <v>0</v>
      </c>
      <c r="J48">
        <v>2</v>
      </c>
      <c r="K48" s="2">
        <v>7</v>
      </c>
      <c r="L48">
        <v>7</v>
      </c>
      <c r="M48" s="2">
        <f t="shared" si="14"/>
        <v>0</v>
      </c>
      <c r="N48" s="9">
        <v>6</v>
      </c>
      <c r="O48" s="9">
        <v>6</v>
      </c>
      <c r="P48">
        <f t="shared" si="15"/>
        <v>0</v>
      </c>
      <c r="Q48" s="9">
        <v>3</v>
      </c>
      <c r="R48" s="9">
        <v>3</v>
      </c>
      <c r="S48">
        <f t="shared" si="16"/>
        <v>0</v>
      </c>
      <c r="T48">
        <v>3</v>
      </c>
      <c r="U48">
        <v>1</v>
      </c>
      <c r="V48">
        <f t="shared" si="17"/>
        <v>-2</v>
      </c>
      <c r="W48">
        <v>0</v>
      </c>
      <c r="X48">
        <v>0</v>
      </c>
      <c r="Y48">
        <f t="shared" si="18"/>
        <v>0</v>
      </c>
      <c r="Z48" s="2">
        <v>0</v>
      </c>
      <c r="AA48" s="2">
        <v>0</v>
      </c>
      <c r="AB48" s="2">
        <v>0</v>
      </c>
      <c r="AC48" s="2">
        <f t="shared" si="19"/>
        <v>0</v>
      </c>
      <c r="AD48" s="2">
        <v>0</v>
      </c>
      <c r="AE48" s="2">
        <v>1</v>
      </c>
      <c r="AF48" s="2">
        <v>0</v>
      </c>
      <c r="AG48" s="2">
        <v>1</v>
      </c>
      <c r="AH48" s="2">
        <v>0</v>
      </c>
      <c r="AI48" s="2">
        <v>0</v>
      </c>
      <c r="AJ48" s="2">
        <v>0</v>
      </c>
      <c r="AK48" s="2">
        <v>0</v>
      </c>
      <c r="AL48">
        <f t="shared" si="20"/>
        <v>0</v>
      </c>
      <c r="AM48" s="9" t="s">
        <v>6</v>
      </c>
    </row>
    <row r="49" spans="1:39" x14ac:dyDescent="0.35">
      <c r="A49">
        <v>183</v>
      </c>
      <c r="B49" t="s">
        <v>16</v>
      </c>
      <c r="C49">
        <v>1.61</v>
      </c>
      <c r="D49" s="2">
        <v>6</v>
      </c>
      <c r="E49" t="s">
        <v>160</v>
      </c>
      <c r="F49" t="s">
        <v>53</v>
      </c>
      <c r="G49" t="s">
        <v>167</v>
      </c>
      <c r="H49">
        <v>0</v>
      </c>
      <c r="I49" s="13">
        <v>0</v>
      </c>
      <c r="J49">
        <v>2</v>
      </c>
      <c r="K49" s="2">
        <v>9</v>
      </c>
      <c r="L49">
        <v>9</v>
      </c>
      <c r="M49" s="2">
        <f t="shared" si="14"/>
        <v>0</v>
      </c>
      <c r="N49" s="9">
        <v>7</v>
      </c>
      <c r="O49" s="9">
        <v>7</v>
      </c>
      <c r="P49">
        <f t="shared" si="15"/>
        <v>0</v>
      </c>
      <c r="Q49" s="9">
        <v>2</v>
      </c>
      <c r="R49" s="9">
        <v>2</v>
      </c>
      <c r="S49">
        <f t="shared" si="16"/>
        <v>0</v>
      </c>
      <c r="T49">
        <v>2</v>
      </c>
      <c r="U49">
        <v>1</v>
      </c>
      <c r="V49">
        <f t="shared" si="17"/>
        <v>-1</v>
      </c>
      <c r="W49">
        <v>1</v>
      </c>
      <c r="X49">
        <v>1</v>
      </c>
      <c r="Y49">
        <f t="shared" si="18"/>
        <v>0</v>
      </c>
      <c r="Z49" s="2">
        <v>0</v>
      </c>
      <c r="AA49" s="2">
        <v>0</v>
      </c>
      <c r="AB49" s="2">
        <v>0</v>
      </c>
      <c r="AC49" s="2">
        <f t="shared" si="19"/>
        <v>0</v>
      </c>
      <c r="AD49" s="2">
        <v>0</v>
      </c>
      <c r="AE49" s="2">
        <v>0</v>
      </c>
      <c r="AF49" s="2">
        <v>0</v>
      </c>
      <c r="AG49" s="2">
        <v>1</v>
      </c>
      <c r="AH49" s="2">
        <v>0</v>
      </c>
      <c r="AI49" s="2">
        <v>0</v>
      </c>
      <c r="AJ49" s="2">
        <v>0</v>
      </c>
      <c r="AK49" s="2">
        <v>0</v>
      </c>
      <c r="AL49">
        <f t="shared" si="20"/>
        <v>0</v>
      </c>
      <c r="AM49" t="s">
        <v>140</v>
      </c>
    </row>
    <row r="50" spans="1:39" x14ac:dyDescent="0.35">
      <c r="A50">
        <v>184</v>
      </c>
      <c r="B50" t="s">
        <v>127</v>
      </c>
      <c r="C50" s="9">
        <v>1.81</v>
      </c>
      <c r="D50" s="2">
        <v>55</v>
      </c>
      <c r="E50" t="s">
        <v>61</v>
      </c>
      <c r="F50" t="s">
        <v>55</v>
      </c>
      <c r="G50" t="s">
        <v>166</v>
      </c>
      <c r="H50">
        <v>0</v>
      </c>
      <c r="I50" s="13">
        <v>0</v>
      </c>
      <c r="J50">
        <v>1</v>
      </c>
      <c r="K50" s="2">
        <v>2</v>
      </c>
      <c r="L50">
        <v>3</v>
      </c>
      <c r="M50" s="2">
        <f t="shared" si="14"/>
        <v>1</v>
      </c>
      <c r="N50" s="9">
        <v>9</v>
      </c>
      <c r="O50" s="9">
        <v>9</v>
      </c>
      <c r="P50">
        <f t="shared" si="15"/>
        <v>0</v>
      </c>
      <c r="T50">
        <v>1</v>
      </c>
      <c r="U50">
        <v>1</v>
      </c>
      <c r="V50">
        <f t="shared" si="17"/>
        <v>0</v>
      </c>
      <c r="W50">
        <v>0</v>
      </c>
      <c r="X50">
        <v>0</v>
      </c>
      <c r="Y50">
        <f t="shared" si="18"/>
        <v>0</v>
      </c>
      <c r="Z50" s="2">
        <v>0</v>
      </c>
      <c r="AA50" s="2">
        <v>0</v>
      </c>
      <c r="AB50" s="2">
        <v>0</v>
      </c>
      <c r="AC50" s="2">
        <f t="shared" si="19"/>
        <v>0</v>
      </c>
      <c r="AD50" s="2">
        <v>0</v>
      </c>
      <c r="AE50" s="2">
        <v>0</v>
      </c>
      <c r="AF50" s="2">
        <v>0</v>
      </c>
      <c r="AG50" s="2">
        <v>0</v>
      </c>
      <c r="AH50" s="2">
        <v>0</v>
      </c>
      <c r="AI50" s="2">
        <v>0</v>
      </c>
      <c r="AJ50" s="2">
        <v>0</v>
      </c>
      <c r="AK50" s="2">
        <v>1</v>
      </c>
      <c r="AL50">
        <f t="shared" si="20"/>
        <v>0</v>
      </c>
      <c r="AM50" t="s">
        <v>140</v>
      </c>
    </row>
    <row r="51" spans="1:39" x14ac:dyDescent="0.35">
      <c r="A51" s="7">
        <v>196</v>
      </c>
      <c r="B51" s="7" t="s">
        <v>16</v>
      </c>
      <c r="C51">
        <v>1.61</v>
      </c>
      <c r="D51" s="2">
        <v>45</v>
      </c>
      <c r="E51" s="7" t="s">
        <v>52</v>
      </c>
      <c r="F51" t="s">
        <v>55</v>
      </c>
      <c r="G51" s="7" t="s">
        <v>167</v>
      </c>
      <c r="H51">
        <v>0</v>
      </c>
      <c r="I51" s="13">
        <v>0</v>
      </c>
      <c r="J51" s="7">
        <v>2</v>
      </c>
      <c r="K51" s="12">
        <v>1</v>
      </c>
      <c r="L51" s="7">
        <v>4</v>
      </c>
      <c r="M51" s="2">
        <f t="shared" si="14"/>
        <v>3</v>
      </c>
      <c r="N51" s="9">
        <v>3</v>
      </c>
      <c r="O51" s="9">
        <v>3</v>
      </c>
      <c r="P51">
        <f t="shared" si="15"/>
        <v>0</v>
      </c>
      <c r="Q51" s="9">
        <v>2</v>
      </c>
      <c r="R51" s="9">
        <v>3</v>
      </c>
      <c r="S51">
        <f t="shared" si="16"/>
        <v>1</v>
      </c>
      <c r="T51">
        <v>1</v>
      </c>
      <c r="U51">
        <v>1</v>
      </c>
      <c r="V51">
        <f t="shared" si="17"/>
        <v>0</v>
      </c>
      <c r="W51">
        <v>0</v>
      </c>
      <c r="X51">
        <v>0</v>
      </c>
      <c r="Y51">
        <f t="shared" si="18"/>
        <v>0</v>
      </c>
      <c r="Z51" s="2">
        <v>0</v>
      </c>
      <c r="AA51" s="2">
        <v>0</v>
      </c>
      <c r="AB51" s="2">
        <v>0</v>
      </c>
      <c r="AC51" s="2">
        <f t="shared" si="19"/>
        <v>0</v>
      </c>
      <c r="AD51" s="2">
        <v>0</v>
      </c>
      <c r="AE51" s="2">
        <v>0</v>
      </c>
      <c r="AF51" s="2">
        <v>0</v>
      </c>
      <c r="AG51" s="2">
        <v>0</v>
      </c>
      <c r="AH51" s="2">
        <v>0</v>
      </c>
      <c r="AI51" s="2">
        <v>0</v>
      </c>
      <c r="AJ51" s="2">
        <v>0</v>
      </c>
      <c r="AK51" s="2">
        <v>0</v>
      </c>
      <c r="AL51">
        <f t="shared" si="20"/>
        <v>1</v>
      </c>
      <c r="AM51" s="2" t="s">
        <v>140</v>
      </c>
    </row>
    <row r="52" spans="1:39" x14ac:dyDescent="0.35">
      <c r="A52" s="7">
        <v>199</v>
      </c>
      <c r="B52" s="7" t="s">
        <v>163</v>
      </c>
      <c r="C52" s="7">
        <v>-0.37</v>
      </c>
      <c r="D52" s="2">
        <v>134</v>
      </c>
      <c r="E52" s="7" t="s">
        <v>52</v>
      </c>
      <c r="F52" t="s">
        <v>56</v>
      </c>
      <c r="G52" t="s">
        <v>166</v>
      </c>
      <c r="H52" s="7">
        <v>1</v>
      </c>
      <c r="I52" s="13">
        <v>0</v>
      </c>
      <c r="J52" s="7">
        <v>1</v>
      </c>
      <c r="K52" s="12">
        <v>6</v>
      </c>
      <c r="L52" s="7">
        <v>6</v>
      </c>
      <c r="M52" s="2">
        <f t="shared" si="14"/>
        <v>0</v>
      </c>
      <c r="N52" s="9">
        <v>10</v>
      </c>
      <c r="O52" s="9">
        <v>10</v>
      </c>
      <c r="P52">
        <f t="shared" si="15"/>
        <v>0</v>
      </c>
      <c r="Q52" s="9">
        <v>2</v>
      </c>
      <c r="R52" s="9">
        <v>2</v>
      </c>
      <c r="S52">
        <f t="shared" si="16"/>
        <v>0</v>
      </c>
      <c r="T52">
        <v>5</v>
      </c>
      <c r="U52">
        <v>5</v>
      </c>
      <c r="V52">
        <f t="shared" si="17"/>
        <v>0</v>
      </c>
      <c r="W52">
        <v>1</v>
      </c>
      <c r="X52">
        <v>1</v>
      </c>
      <c r="Y52">
        <f t="shared" si="18"/>
        <v>0</v>
      </c>
      <c r="Z52" s="2">
        <v>0</v>
      </c>
      <c r="AA52" s="2">
        <v>0</v>
      </c>
      <c r="AB52" s="2">
        <v>0</v>
      </c>
      <c r="AC52" s="2">
        <f t="shared" si="19"/>
        <v>0</v>
      </c>
      <c r="AD52" s="2">
        <v>1</v>
      </c>
      <c r="AE52" s="2">
        <v>1</v>
      </c>
      <c r="AF52" s="2">
        <v>0</v>
      </c>
      <c r="AG52" s="2">
        <v>0</v>
      </c>
      <c r="AH52" s="2">
        <v>1</v>
      </c>
      <c r="AI52" s="2">
        <v>0</v>
      </c>
      <c r="AJ52" s="2">
        <v>0</v>
      </c>
      <c r="AK52" s="2">
        <v>0</v>
      </c>
      <c r="AL52">
        <f t="shared" si="20"/>
        <v>0</v>
      </c>
      <c r="AM52" s="2" t="s">
        <v>140</v>
      </c>
    </row>
    <row r="53" spans="1:39" x14ac:dyDescent="0.35">
      <c r="A53" s="7">
        <v>202</v>
      </c>
      <c r="B53" s="7" t="s">
        <v>127</v>
      </c>
      <c r="C53" s="9">
        <v>1.81</v>
      </c>
      <c r="D53" s="2">
        <v>52</v>
      </c>
      <c r="E53" s="7" t="s">
        <v>61</v>
      </c>
      <c r="F53" t="s">
        <v>55</v>
      </c>
      <c r="G53" t="s">
        <v>166</v>
      </c>
      <c r="H53">
        <v>0</v>
      </c>
      <c r="I53" s="13">
        <v>0</v>
      </c>
      <c r="J53" s="7">
        <v>1</v>
      </c>
      <c r="K53" s="12">
        <v>3</v>
      </c>
      <c r="L53" s="7">
        <v>3</v>
      </c>
      <c r="M53" s="2">
        <f t="shared" si="14"/>
        <v>0</v>
      </c>
      <c r="N53" s="9">
        <v>5</v>
      </c>
      <c r="O53" s="9">
        <v>5</v>
      </c>
      <c r="P53">
        <f t="shared" si="15"/>
        <v>0</v>
      </c>
      <c r="Q53" s="9">
        <v>1</v>
      </c>
      <c r="R53" s="9">
        <v>1</v>
      </c>
      <c r="S53">
        <f t="shared" si="16"/>
        <v>0</v>
      </c>
      <c r="T53">
        <v>1</v>
      </c>
      <c r="U53">
        <v>1</v>
      </c>
      <c r="V53">
        <f t="shared" si="17"/>
        <v>0</v>
      </c>
      <c r="W53">
        <v>0</v>
      </c>
      <c r="X53">
        <v>1</v>
      </c>
      <c r="Y53">
        <f t="shared" si="18"/>
        <v>1</v>
      </c>
      <c r="Z53" s="12">
        <v>0</v>
      </c>
      <c r="AA53" s="2">
        <v>0</v>
      </c>
      <c r="AB53" s="2">
        <v>0</v>
      </c>
      <c r="AC53" s="2">
        <f t="shared" si="19"/>
        <v>0</v>
      </c>
      <c r="AD53" s="2">
        <v>0</v>
      </c>
      <c r="AE53" s="2">
        <v>0</v>
      </c>
      <c r="AF53" s="2">
        <v>0</v>
      </c>
      <c r="AG53" s="2">
        <v>1</v>
      </c>
      <c r="AH53" s="2">
        <v>0</v>
      </c>
      <c r="AI53" s="2">
        <v>0</v>
      </c>
      <c r="AJ53" s="2">
        <v>0</v>
      </c>
      <c r="AK53" s="2">
        <v>0</v>
      </c>
      <c r="AL53">
        <f t="shared" si="20"/>
        <v>0</v>
      </c>
      <c r="AM53" s="2" t="s">
        <v>140</v>
      </c>
    </row>
    <row r="54" spans="1:39" x14ac:dyDescent="0.35">
      <c r="A54" s="7">
        <v>203</v>
      </c>
      <c r="B54" s="7" t="s">
        <v>127</v>
      </c>
      <c r="C54" s="9">
        <v>1.81</v>
      </c>
      <c r="D54" s="5">
        <v>21</v>
      </c>
      <c r="E54" s="7" t="s">
        <v>162</v>
      </c>
      <c r="F54" t="s">
        <v>55</v>
      </c>
      <c r="G54" t="s">
        <v>166</v>
      </c>
      <c r="H54">
        <v>0</v>
      </c>
      <c r="I54" s="13">
        <v>0</v>
      </c>
      <c r="J54" s="7">
        <v>1</v>
      </c>
      <c r="K54" s="12">
        <v>3</v>
      </c>
      <c r="L54" s="7">
        <v>3</v>
      </c>
      <c r="M54" s="2">
        <f t="shared" si="14"/>
        <v>0</v>
      </c>
      <c r="N54" s="9">
        <v>6</v>
      </c>
      <c r="O54" s="9">
        <v>6</v>
      </c>
      <c r="P54">
        <f t="shared" si="15"/>
        <v>0</v>
      </c>
      <c r="Q54" s="9">
        <v>3</v>
      </c>
      <c r="R54" s="9">
        <v>3</v>
      </c>
      <c r="S54">
        <f t="shared" si="16"/>
        <v>0</v>
      </c>
      <c r="T54">
        <v>5</v>
      </c>
      <c r="U54">
        <v>5</v>
      </c>
      <c r="V54">
        <f t="shared" si="17"/>
        <v>0</v>
      </c>
      <c r="W54">
        <v>0</v>
      </c>
      <c r="X54">
        <v>0</v>
      </c>
      <c r="Y54">
        <f t="shared" si="18"/>
        <v>0</v>
      </c>
      <c r="Z54" s="12">
        <v>0</v>
      </c>
      <c r="AA54" s="2">
        <v>0</v>
      </c>
      <c r="AB54" s="2">
        <v>0</v>
      </c>
      <c r="AC54" s="2">
        <f t="shared" si="19"/>
        <v>0</v>
      </c>
      <c r="AD54" s="2">
        <v>0</v>
      </c>
      <c r="AE54" s="2">
        <v>0</v>
      </c>
      <c r="AF54" s="2">
        <v>0</v>
      </c>
      <c r="AG54" s="2">
        <v>0</v>
      </c>
      <c r="AH54" s="2">
        <v>0</v>
      </c>
      <c r="AI54" s="2">
        <v>0</v>
      </c>
      <c r="AJ54" s="2">
        <v>0</v>
      </c>
      <c r="AK54" s="2">
        <v>0</v>
      </c>
      <c r="AL54">
        <f t="shared" si="20"/>
        <v>1</v>
      </c>
      <c r="AM54" s="5" t="s">
        <v>140</v>
      </c>
    </row>
    <row r="55" spans="1:39" x14ac:dyDescent="0.35">
      <c r="A55" s="7">
        <v>204</v>
      </c>
      <c r="B55" s="7" t="s">
        <v>127</v>
      </c>
      <c r="C55" s="9">
        <v>1.81</v>
      </c>
      <c r="D55" s="2">
        <v>49</v>
      </c>
      <c r="E55" s="7" t="s">
        <v>61</v>
      </c>
      <c r="F55" t="s">
        <v>53</v>
      </c>
      <c r="G55" t="s">
        <v>166</v>
      </c>
      <c r="H55">
        <v>0</v>
      </c>
      <c r="I55" s="13">
        <v>0</v>
      </c>
      <c r="J55" s="7">
        <v>1</v>
      </c>
      <c r="K55" s="12">
        <v>3</v>
      </c>
      <c r="L55" s="7">
        <v>3</v>
      </c>
      <c r="M55" s="2">
        <f t="shared" si="14"/>
        <v>0</v>
      </c>
      <c r="N55" s="9">
        <v>7</v>
      </c>
      <c r="O55" s="9">
        <v>7</v>
      </c>
      <c r="P55">
        <f t="shared" si="15"/>
        <v>0</v>
      </c>
      <c r="Q55" s="9">
        <v>1</v>
      </c>
      <c r="R55" s="9">
        <v>1</v>
      </c>
      <c r="S55">
        <f t="shared" si="16"/>
        <v>0</v>
      </c>
      <c r="T55">
        <v>3</v>
      </c>
      <c r="U55">
        <v>3</v>
      </c>
      <c r="V55">
        <f t="shared" si="17"/>
        <v>0</v>
      </c>
      <c r="W55">
        <v>1</v>
      </c>
      <c r="X55">
        <v>1</v>
      </c>
      <c r="Y55">
        <f t="shared" si="18"/>
        <v>0</v>
      </c>
      <c r="Z55" s="12">
        <v>0</v>
      </c>
      <c r="AA55" s="2">
        <v>0</v>
      </c>
      <c r="AB55" s="2">
        <v>0</v>
      </c>
      <c r="AC55" s="2">
        <f t="shared" si="19"/>
        <v>0</v>
      </c>
      <c r="AD55" s="2">
        <v>0</v>
      </c>
      <c r="AE55" s="2">
        <v>0</v>
      </c>
      <c r="AF55" s="2">
        <v>0</v>
      </c>
      <c r="AG55" s="2">
        <v>0</v>
      </c>
      <c r="AH55" s="2">
        <v>0</v>
      </c>
      <c r="AI55" s="2">
        <v>0</v>
      </c>
      <c r="AJ55" s="2">
        <v>0</v>
      </c>
      <c r="AK55" s="2">
        <v>0</v>
      </c>
      <c r="AL55">
        <f t="shared" si="20"/>
        <v>1</v>
      </c>
      <c r="AM55" s="2" t="s">
        <v>140</v>
      </c>
    </row>
    <row r="56" spans="1:39" x14ac:dyDescent="0.35">
      <c r="A56" s="7">
        <v>214</v>
      </c>
      <c r="B56" t="s">
        <v>18</v>
      </c>
      <c r="C56">
        <v>-0.04</v>
      </c>
      <c r="D56" s="2">
        <v>12</v>
      </c>
      <c r="E56" t="s">
        <v>62</v>
      </c>
      <c r="F56" t="s">
        <v>54</v>
      </c>
      <c r="G56" t="s">
        <v>166</v>
      </c>
      <c r="H56">
        <v>0</v>
      </c>
      <c r="I56" s="13">
        <v>0</v>
      </c>
      <c r="J56">
        <v>1</v>
      </c>
      <c r="K56" s="12">
        <v>3</v>
      </c>
      <c r="L56" s="7">
        <v>4</v>
      </c>
      <c r="M56" s="2">
        <f t="shared" si="14"/>
        <v>1</v>
      </c>
      <c r="N56" s="9">
        <v>2</v>
      </c>
      <c r="O56" s="9">
        <v>2</v>
      </c>
      <c r="P56">
        <f t="shared" si="15"/>
        <v>0</v>
      </c>
      <c r="Q56" s="9">
        <v>3</v>
      </c>
      <c r="R56" s="9">
        <v>3</v>
      </c>
      <c r="S56">
        <f t="shared" si="16"/>
        <v>0</v>
      </c>
      <c r="T56">
        <v>2</v>
      </c>
      <c r="U56">
        <v>2</v>
      </c>
      <c r="V56">
        <f t="shared" si="17"/>
        <v>0</v>
      </c>
      <c r="W56">
        <v>1</v>
      </c>
      <c r="X56">
        <v>1</v>
      </c>
      <c r="Y56">
        <f t="shared" si="18"/>
        <v>0</v>
      </c>
      <c r="Z56" s="2">
        <v>0</v>
      </c>
      <c r="AA56" s="2">
        <v>1</v>
      </c>
      <c r="AB56" s="2">
        <v>1</v>
      </c>
      <c r="AC56" s="2">
        <f t="shared" si="19"/>
        <v>1</v>
      </c>
      <c r="AD56" s="2">
        <v>1</v>
      </c>
      <c r="AE56" s="2">
        <v>1</v>
      </c>
      <c r="AF56" s="2">
        <v>0</v>
      </c>
      <c r="AG56" s="2">
        <v>1</v>
      </c>
      <c r="AH56" s="2">
        <v>0</v>
      </c>
      <c r="AI56" s="2">
        <v>1</v>
      </c>
      <c r="AJ56" s="2">
        <v>1</v>
      </c>
      <c r="AK56" s="2">
        <v>0</v>
      </c>
      <c r="AL56">
        <f t="shared" si="20"/>
        <v>0</v>
      </c>
      <c r="AM56" s="2" t="s">
        <v>47</v>
      </c>
    </row>
    <row r="57" spans="1:39" x14ac:dyDescent="0.35">
      <c r="A57" s="7">
        <v>223</v>
      </c>
      <c r="B57" t="s">
        <v>16</v>
      </c>
      <c r="C57">
        <v>1.61</v>
      </c>
      <c r="D57" s="2">
        <v>15</v>
      </c>
      <c r="E57" t="s">
        <v>52</v>
      </c>
      <c r="F57" t="s">
        <v>59</v>
      </c>
      <c r="G57" t="s">
        <v>167</v>
      </c>
      <c r="H57">
        <v>0</v>
      </c>
      <c r="I57" s="13">
        <v>0</v>
      </c>
      <c r="J57">
        <v>2</v>
      </c>
      <c r="K57" s="2">
        <v>4</v>
      </c>
      <c r="L57" s="7">
        <v>6</v>
      </c>
      <c r="M57" s="2">
        <f t="shared" ref="M57:M61" si="21">L57-K57</f>
        <v>2</v>
      </c>
      <c r="N57" s="9">
        <v>9</v>
      </c>
      <c r="O57" s="9">
        <v>9</v>
      </c>
      <c r="P57">
        <f t="shared" ref="P57:P61" si="22">O57-N57</f>
        <v>0</v>
      </c>
      <c r="Q57" s="9">
        <v>2</v>
      </c>
      <c r="R57" s="9">
        <v>2</v>
      </c>
      <c r="S57">
        <f t="shared" ref="S57:S61" si="23">R57-Q57</f>
        <v>0</v>
      </c>
      <c r="T57">
        <v>1</v>
      </c>
      <c r="U57">
        <v>1</v>
      </c>
      <c r="V57">
        <f t="shared" ref="V57:V61" si="24">U57-T57</f>
        <v>0</v>
      </c>
      <c r="W57">
        <v>1</v>
      </c>
      <c r="X57">
        <v>1</v>
      </c>
      <c r="Y57">
        <f t="shared" ref="Y57:Y61" si="25">X57-W57</f>
        <v>0</v>
      </c>
      <c r="Z57" s="2">
        <v>0</v>
      </c>
      <c r="AA57" s="2">
        <v>0</v>
      </c>
      <c r="AB57" s="2">
        <v>0</v>
      </c>
      <c r="AC57" s="2">
        <f>IF(AA57+AB57&gt;0,1,0)</f>
        <v>0</v>
      </c>
      <c r="AD57" s="2">
        <v>0</v>
      </c>
      <c r="AE57" s="2">
        <v>0</v>
      </c>
      <c r="AF57" s="2">
        <v>0</v>
      </c>
      <c r="AG57" s="2">
        <v>0</v>
      </c>
      <c r="AH57" s="2">
        <v>0</v>
      </c>
      <c r="AI57" s="2">
        <v>0</v>
      </c>
      <c r="AJ57" s="2">
        <v>0</v>
      </c>
      <c r="AK57" s="2">
        <v>0</v>
      </c>
      <c r="AL57" s="2">
        <f>IF(Z57+AC57+AD57+AE57+AG57+AJ57+AK57=0,1,0)</f>
        <v>1</v>
      </c>
      <c r="AM57" s="2" t="s">
        <v>140</v>
      </c>
    </row>
    <row r="58" spans="1:39" x14ac:dyDescent="0.35">
      <c r="A58" s="7">
        <v>224</v>
      </c>
      <c r="B58" t="s">
        <v>16</v>
      </c>
      <c r="C58">
        <v>1.61</v>
      </c>
      <c r="D58" s="2">
        <v>37</v>
      </c>
      <c r="E58" t="s">
        <v>52</v>
      </c>
      <c r="F58" t="s">
        <v>53</v>
      </c>
      <c r="G58" t="s">
        <v>166</v>
      </c>
      <c r="H58">
        <v>0</v>
      </c>
      <c r="I58" s="13">
        <v>0</v>
      </c>
      <c r="J58" s="2">
        <v>2</v>
      </c>
      <c r="K58" s="2">
        <v>3</v>
      </c>
      <c r="L58" s="7">
        <v>3</v>
      </c>
      <c r="M58" s="2">
        <f t="shared" si="21"/>
        <v>0</v>
      </c>
      <c r="N58" s="9">
        <v>9</v>
      </c>
      <c r="O58" s="9">
        <v>9</v>
      </c>
      <c r="P58">
        <f t="shared" si="22"/>
        <v>0</v>
      </c>
      <c r="Q58" s="9">
        <v>3</v>
      </c>
      <c r="R58" s="9">
        <v>3</v>
      </c>
      <c r="S58">
        <f t="shared" si="23"/>
        <v>0</v>
      </c>
      <c r="T58">
        <v>2</v>
      </c>
      <c r="U58">
        <v>2</v>
      </c>
      <c r="V58">
        <f t="shared" si="24"/>
        <v>0</v>
      </c>
      <c r="W58">
        <v>0</v>
      </c>
      <c r="X58">
        <v>0</v>
      </c>
      <c r="Y58">
        <f t="shared" si="25"/>
        <v>0</v>
      </c>
      <c r="Z58" s="2">
        <v>0</v>
      </c>
      <c r="AA58" s="2">
        <v>0</v>
      </c>
      <c r="AB58" s="2">
        <v>0</v>
      </c>
      <c r="AC58" s="2">
        <f>IF(AA58+AB58&gt;0,1,0)</f>
        <v>0</v>
      </c>
      <c r="AD58" s="2">
        <v>0</v>
      </c>
      <c r="AE58" s="2">
        <v>0</v>
      </c>
      <c r="AF58" s="2">
        <v>0</v>
      </c>
      <c r="AG58" s="2">
        <v>1</v>
      </c>
      <c r="AH58" s="2">
        <v>0</v>
      </c>
      <c r="AI58" s="2">
        <v>0</v>
      </c>
      <c r="AJ58" s="2">
        <v>0</v>
      </c>
      <c r="AK58" s="2">
        <v>0</v>
      </c>
      <c r="AL58" s="2">
        <f>IF(Z58+AC58+AD58+AE58+AG58+AJ58+AK58=0,1,0)</f>
        <v>0</v>
      </c>
      <c r="AM58" s="2" t="s">
        <v>39</v>
      </c>
    </row>
    <row r="59" spans="1:39" x14ac:dyDescent="0.35">
      <c r="A59" s="7">
        <v>225</v>
      </c>
      <c r="B59" t="s">
        <v>16</v>
      </c>
      <c r="C59">
        <v>1.61</v>
      </c>
      <c r="D59" s="5">
        <v>97</v>
      </c>
      <c r="E59" t="s">
        <v>52</v>
      </c>
      <c r="F59" t="s">
        <v>53</v>
      </c>
      <c r="G59" t="s">
        <v>166</v>
      </c>
      <c r="H59">
        <v>0</v>
      </c>
      <c r="I59" s="13">
        <v>0</v>
      </c>
      <c r="J59" s="2">
        <v>2</v>
      </c>
      <c r="K59" s="2">
        <v>4</v>
      </c>
      <c r="L59" s="7">
        <v>4</v>
      </c>
      <c r="M59" s="2">
        <f t="shared" si="21"/>
        <v>0</v>
      </c>
      <c r="N59" s="9">
        <v>7</v>
      </c>
      <c r="O59" s="9">
        <v>7</v>
      </c>
      <c r="P59">
        <f t="shared" si="22"/>
        <v>0</v>
      </c>
      <c r="Q59" s="9">
        <v>2</v>
      </c>
      <c r="R59" s="9">
        <v>2</v>
      </c>
      <c r="S59">
        <f t="shared" si="23"/>
        <v>0</v>
      </c>
      <c r="T59">
        <v>1</v>
      </c>
      <c r="U59">
        <v>2</v>
      </c>
      <c r="V59">
        <f t="shared" si="24"/>
        <v>1</v>
      </c>
      <c r="W59">
        <v>0</v>
      </c>
      <c r="X59">
        <v>0</v>
      </c>
      <c r="Y59">
        <f t="shared" si="25"/>
        <v>0</v>
      </c>
      <c r="Z59" s="2">
        <v>0</v>
      </c>
      <c r="AA59" s="2">
        <v>0</v>
      </c>
      <c r="AB59" s="2">
        <v>0</v>
      </c>
      <c r="AC59" s="2">
        <f t="shared" ref="AC59:AC61" si="26">IF(AA59+AB59&gt;0,1,0)</f>
        <v>0</v>
      </c>
      <c r="AD59" s="2">
        <v>0</v>
      </c>
      <c r="AE59" s="2">
        <v>0</v>
      </c>
      <c r="AF59" s="2">
        <v>0</v>
      </c>
      <c r="AG59" s="2">
        <v>0</v>
      </c>
      <c r="AH59" s="2">
        <v>0</v>
      </c>
      <c r="AI59" s="2">
        <v>0</v>
      </c>
      <c r="AJ59" s="2">
        <v>0</v>
      </c>
      <c r="AK59" s="2">
        <v>0</v>
      </c>
      <c r="AL59" s="2">
        <f t="shared" ref="AL59:AL61" si="27">IF(Z59+AC59+AD59+AE59+AG59+AJ59+AK59=0,1,0)</f>
        <v>1</v>
      </c>
      <c r="AM59" s="2" t="s">
        <v>140</v>
      </c>
    </row>
    <row r="60" spans="1:39" x14ac:dyDescent="0.35">
      <c r="A60" s="7">
        <v>226</v>
      </c>
      <c r="B60" t="s">
        <v>163</v>
      </c>
      <c r="C60" s="7">
        <v>-0.37</v>
      </c>
      <c r="D60" s="5">
        <v>120</v>
      </c>
      <c r="E60" t="s">
        <v>52</v>
      </c>
      <c r="F60" t="s">
        <v>56</v>
      </c>
      <c r="G60" t="s">
        <v>166</v>
      </c>
      <c r="H60">
        <v>1</v>
      </c>
      <c r="I60" s="13">
        <v>0</v>
      </c>
      <c r="J60">
        <v>1</v>
      </c>
      <c r="K60" s="2">
        <v>4</v>
      </c>
      <c r="L60" s="7">
        <v>4</v>
      </c>
      <c r="M60" s="2">
        <f t="shared" si="21"/>
        <v>0</v>
      </c>
      <c r="N60" s="9">
        <v>3</v>
      </c>
      <c r="O60" s="9">
        <v>3</v>
      </c>
      <c r="P60">
        <f t="shared" si="22"/>
        <v>0</v>
      </c>
      <c r="Q60" s="9">
        <v>1</v>
      </c>
      <c r="R60" s="9">
        <v>1</v>
      </c>
      <c r="S60">
        <f t="shared" si="23"/>
        <v>0</v>
      </c>
      <c r="T60">
        <v>3</v>
      </c>
      <c r="U60">
        <v>3</v>
      </c>
      <c r="V60">
        <f t="shared" si="24"/>
        <v>0</v>
      </c>
      <c r="W60">
        <v>1</v>
      </c>
      <c r="X60">
        <v>1</v>
      </c>
      <c r="Y60">
        <f t="shared" si="25"/>
        <v>0</v>
      </c>
      <c r="Z60" s="2">
        <v>0</v>
      </c>
      <c r="AA60" s="2">
        <v>0</v>
      </c>
      <c r="AB60" s="2">
        <v>0</v>
      </c>
      <c r="AC60" s="2">
        <f t="shared" si="26"/>
        <v>0</v>
      </c>
      <c r="AD60" s="2">
        <v>0</v>
      </c>
      <c r="AE60" s="2">
        <v>0</v>
      </c>
      <c r="AF60" s="2">
        <v>0</v>
      </c>
      <c r="AG60" s="2">
        <v>0</v>
      </c>
      <c r="AH60" s="2">
        <v>0</v>
      </c>
      <c r="AI60" s="2">
        <v>0</v>
      </c>
      <c r="AJ60" s="2">
        <v>0</v>
      </c>
      <c r="AK60" s="2">
        <v>0</v>
      </c>
      <c r="AL60" s="2">
        <f t="shared" si="27"/>
        <v>1</v>
      </c>
      <c r="AM60" s="2" t="s">
        <v>140</v>
      </c>
    </row>
    <row r="61" spans="1:39" x14ac:dyDescent="0.35">
      <c r="A61" s="7">
        <v>231</v>
      </c>
      <c r="B61" t="s">
        <v>163</v>
      </c>
      <c r="C61" s="7">
        <v>-0.37</v>
      </c>
      <c r="D61" s="2">
        <v>72</v>
      </c>
      <c r="E61" t="s">
        <v>52</v>
      </c>
      <c r="F61" t="s">
        <v>54</v>
      </c>
      <c r="G61" t="s">
        <v>166</v>
      </c>
      <c r="H61">
        <v>1</v>
      </c>
      <c r="I61" s="13">
        <v>0</v>
      </c>
      <c r="J61">
        <v>1</v>
      </c>
      <c r="K61" s="2">
        <v>2</v>
      </c>
      <c r="L61" s="7">
        <v>2</v>
      </c>
      <c r="M61" s="2">
        <f t="shared" si="21"/>
        <v>0</v>
      </c>
      <c r="N61" s="9">
        <v>9</v>
      </c>
      <c r="O61" s="9">
        <v>8</v>
      </c>
      <c r="P61">
        <f t="shared" si="22"/>
        <v>-1</v>
      </c>
      <c r="Q61" s="9">
        <v>1</v>
      </c>
      <c r="R61" s="9">
        <v>1</v>
      </c>
      <c r="S61">
        <f t="shared" si="23"/>
        <v>0</v>
      </c>
      <c r="T61">
        <v>2</v>
      </c>
      <c r="U61">
        <v>2</v>
      </c>
      <c r="V61">
        <f t="shared" si="24"/>
        <v>0</v>
      </c>
      <c r="W61">
        <v>1</v>
      </c>
      <c r="X61">
        <v>1</v>
      </c>
      <c r="Y61">
        <f t="shared" si="25"/>
        <v>0</v>
      </c>
      <c r="Z61" s="2">
        <v>0</v>
      </c>
      <c r="AA61" s="2">
        <v>0</v>
      </c>
      <c r="AB61" s="2">
        <v>0</v>
      </c>
      <c r="AC61" s="2">
        <f t="shared" si="26"/>
        <v>0</v>
      </c>
      <c r="AD61" s="2">
        <v>0</v>
      </c>
      <c r="AE61" s="2">
        <v>0</v>
      </c>
      <c r="AF61" s="2">
        <v>0</v>
      </c>
      <c r="AG61" s="2">
        <v>1</v>
      </c>
      <c r="AH61" s="2">
        <v>0</v>
      </c>
      <c r="AI61" s="2">
        <v>0</v>
      </c>
      <c r="AJ61" s="2">
        <v>1</v>
      </c>
      <c r="AK61" s="2">
        <v>0</v>
      </c>
      <c r="AL61" s="2">
        <f t="shared" si="27"/>
        <v>0</v>
      </c>
      <c r="AM61" s="2" t="s">
        <v>9</v>
      </c>
    </row>
    <row r="62" spans="1:39" x14ac:dyDescent="0.35">
      <c r="AL62" s="2"/>
    </row>
    <row r="63" spans="1:39" x14ac:dyDescent="0.35">
      <c r="G63" s="13"/>
      <c r="Z63" s="13"/>
      <c r="AA63" s="13"/>
      <c r="AB63" s="13"/>
      <c r="AC63" s="13"/>
      <c r="AD63" s="13"/>
      <c r="AE63" s="13"/>
      <c r="AF63" s="13"/>
      <c r="AG63" s="13"/>
      <c r="AH63" s="13"/>
      <c r="AI63" s="13"/>
      <c r="AJ63" s="13"/>
      <c r="AK63" s="13"/>
      <c r="AL63" s="13"/>
    </row>
    <row r="64" spans="1:39" x14ac:dyDescent="0.35">
      <c r="G64" s="13"/>
      <c r="Q64" s="2"/>
      <c r="R64" s="13"/>
      <c r="S64" s="13"/>
    </row>
    <row r="65" spans="7:19" x14ac:dyDescent="0.35">
      <c r="G65" s="13"/>
      <c r="Q65" s="2"/>
      <c r="R65" s="13"/>
      <c r="S65" s="13"/>
    </row>
    <row r="66" spans="7:19" x14ac:dyDescent="0.35">
      <c r="O66" s="1"/>
      <c r="P66" s="1"/>
      <c r="Q66" s="2"/>
      <c r="R66" s="13"/>
      <c r="S66" s="13"/>
    </row>
    <row r="67" spans="7:19" x14ac:dyDescent="0.35">
      <c r="O67" s="1"/>
      <c r="P67" s="1"/>
      <c r="Q67" s="2"/>
      <c r="R67" s="13"/>
      <c r="S67" s="13"/>
    </row>
    <row r="68" spans="7:19" x14ac:dyDescent="0.35">
      <c r="O68" s="1"/>
      <c r="P68" s="1"/>
      <c r="Q68" s="2"/>
      <c r="R68" s="13"/>
      <c r="S68" s="13"/>
    </row>
    <row r="69" spans="7:19" x14ac:dyDescent="0.35">
      <c r="O69" s="1"/>
      <c r="P69" s="1"/>
      <c r="Q69" s="2"/>
      <c r="R69" s="13"/>
      <c r="S69" s="13"/>
    </row>
    <row r="70" spans="7:19" x14ac:dyDescent="0.35">
      <c r="Q70" s="2"/>
      <c r="R70" s="13"/>
      <c r="S70" s="13"/>
    </row>
    <row r="71" spans="7:19" x14ac:dyDescent="0.35">
      <c r="Q71" s="1"/>
    </row>
    <row r="72" spans="7:19" x14ac:dyDescent="0.35">
      <c r="Q72" s="1"/>
    </row>
  </sheetData>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78"/>
  <sheetViews>
    <sheetView topLeftCell="A60" workbookViewId="0">
      <selection activeCell="D77" sqref="D77"/>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customWidth="1"/>
  </cols>
  <sheetData>
    <row r="2" spans="2:16" x14ac:dyDescent="0.35">
      <c r="C2" s="22" t="s">
        <v>186</v>
      </c>
    </row>
    <row r="3" spans="2:16" x14ac:dyDescent="0.35">
      <c r="C3" s="22" t="s">
        <v>187</v>
      </c>
    </row>
    <row r="5" spans="2:16" x14ac:dyDescent="0.35">
      <c r="B5" s="3" t="s">
        <v>189</v>
      </c>
    </row>
    <row r="6" spans="2:16" x14ac:dyDescent="0.35">
      <c r="C6" s="48" t="s">
        <v>71</v>
      </c>
      <c r="D6" s="48"/>
      <c r="E6" s="44"/>
      <c r="F6" s="44"/>
      <c r="G6" s="48" t="s">
        <v>74</v>
      </c>
      <c r="H6" s="48"/>
      <c r="I6" s="48"/>
      <c r="J6" s="48"/>
      <c r="K6" s="48" t="s">
        <v>178</v>
      </c>
      <c r="L6" s="48"/>
      <c r="M6" s="48"/>
      <c r="N6" s="48" t="s">
        <v>179</v>
      </c>
      <c r="O6" s="48"/>
      <c r="P6" s="48"/>
    </row>
    <row r="7" spans="2:16"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275</v>
      </c>
      <c r="P7" s="20" t="s">
        <v>180</v>
      </c>
    </row>
    <row r="8" spans="2:16" x14ac:dyDescent="0.35">
      <c r="B8" s="6" t="s">
        <v>264</v>
      </c>
      <c r="C8" s="18">
        <f>COUNTIFS(datasheet_control!V2:V124,0,datasheet_control!AG2:AG124,1)</f>
        <v>21</v>
      </c>
      <c r="D8" s="18">
        <f>COUNTIFS(datasheet_control!V2:V124,"&lt;0",datasheet_control!AG2:AG124,1)</f>
        <v>8</v>
      </c>
      <c r="E8" s="18">
        <f>COUNTIFS(datasheet_control!V2:V124,"&gt;0",datasheet_control!AG2:AG124,1)</f>
        <v>1</v>
      </c>
      <c r="F8" s="18">
        <f>SUM(C8:E8)</f>
        <v>30</v>
      </c>
      <c r="G8" s="18">
        <f>COUNTIFS(datasheet_control!Y2:Y124,0,datasheet_control!AG2:AG124,1)</f>
        <v>23</v>
      </c>
      <c r="H8" s="18">
        <f>COUNTIFS(datasheet_control!Y2:Y124,"&lt;0",datasheet_control!AG2:AG124,1)</f>
        <v>2</v>
      </c>
      <c r="I8" s="18">
        <f>COUNTIFS(datasheet_control!Y2:Y124,"&gt;0",datasheet_control!AG2:AG124,1)</f>
        <v>5</v>
      </c>
      <c r="J8" s="18">
        <f>SUM(G8:I8)</f>
        <v>30</v>
      </c>
      <c r="K8" s="18">
        <f>COUNTIFS(datasheet_control!P2:P124,"&gt;=0",datasheet_control!AG2:AG124,1)</f>
        <v>24</v>
      </c>
      <c r="L8" s="18">
        <f>COUNTIFS(datasheet_control!P2:P124,"&lt;0",datasheet_control!AG2:AG124,1)</f>
        <v>6</v>
      </c>
      <c r="M8" s="18">
        <f>SUM(K8:L8)</f>
        <v>30</v>
      </c>
      <c r="N8" s="18">
        <f>COUNTIFS(datasheet_control!M2:M124,0,datasheet_control!AG2:AG124,1)</f>
        <v>25</v>
      </c>
      <c r="O8" s="18">
        <f>COUNTIFS(datasheet_control!M2:M124,"&gt;0",datasheet_control!AG2:AG124,1)</f>
        <v>5</v>
      </c>
      <c r="P8" s="18">
        <f>SUM(N8:O8)</f>
        <v>30</v>
      </c>
    </row>
    <row r="9" spans="2:16" x14ac:dyDescent="0.35">
      <c r="B9" s="6" t="s">
        <v>265</v>
      </c>
      <c r="C9" s="18">
        <f>COUNTIFS(datasheet_control!V2:V124,0,datasheet_control!AG2:AG124,0)</f>
        <v>25</v>
      </c>
      <c r="D9" s="18">
        <f>COUNTIFS(datasheet_control!V2:V124,"&lt;0",datasheet_control!AG2:AG124,0)</f>
        <v>1</v>
      </c>
      <c r="E9" s="18">
        <f>COUNTIFS(datasheet_control!V2:V124,"&gt;0",datasheet_control!AG2:AG124,0)</f>
        <v>4</v>
      </c>
      <c r="F9" s="18">
        <f t="shared" ref="F9" si="0">SUM(C9:E9)</f>
        <v>30</v>
      </c>
      <c r="G9" s="18">
        <f>COUNTIFS(datasheet_control!Y2:Y124,0,datasheet_control!AG2:AG124,0)</f>
        <v>25</v>
      </c>
      <c r="H9" s="18">
        <f>COUNTIFS(datasheet_control!Y2:Y124,"&lt;0",datasheet_control!AG2:AG124,0)</f>
        <v>2</v>
      </c>
      <c r="I9" s="18">
        <f>COUNTIFS(datasheet_control!Y2:Y124,"&gt;0",datasheet_control!AG2:AG124,0)</f>
        <v>3</v>
      </c>
      <c r="J9" s="18">
        <f t="shared" ref="J9" si="1">SUM(G9:I9)</f>
        <v>30</v>
      </c>
      <c r="K9" s="18">
        <f>COUNTIFS(datasheet_control!P2:P124,"&gt;=0",datasheet_control!AG2:AG124,0)</f>
        <v>28</v>
      </c>
      <c r="L9" s="18">
        <f>COUNTIFS(datasheet_control!P2:P124,"&lt;0",datasheet_control!AG2:AG124,0)</f>
        <v>1</v>
      </c>
      <c r="M9" s="18">
        <f>SUM(K9:L9)</f>
        <v>29</v>
      </c>
      <c r="N9" s="18">
        <f>COUNTIFS(datasheet_control!M2:M124,0,datasheet_control!AG2:AG124,0)</f>
        <v>25</v>
      </c>
      <c r="O9" s="18">
        <f>COUNTIFS(datasheet_control!M2:M124,"&gt;0",datasheet_control!AG2:AG124,0)</f>
        <v>5</v>
      </c>
      <c r="P9" s="18">
        <f>SUM(N9:O9)</f>
        <v>30</v>
      </c>
    </row>
    <row r="10" spans="2:16" x14ac:dyDescent="0.35">
      <c r="B10" s="3" t="s">
        <v>180</v>
      </c>
      <c r="C10" s="18">
        <f>SUM(C8:C9)</f>
        <v>46</v>
      </c>
      <c r="D10" s="18">
        <f t="shared" ref="D10:F10" si="2">SUM(D8:D9)</f>
        <v>9</v>
      </c>
      <c r="E10" s="18">
        <f t="shared" si="2"/>
        <v>5</v>
      </c>
      <c r="F10" s="18">
        <f t="shared" si="2"/>
        <v>60</v>
      </c>
      <c r="G10" s="22">
        <f>SUM(G8:G9)</f>
        <v>48</v>
      </c>
      <c r="H10" s="22">
        <f t="shared" ref="H10:J10" si="3">SUM(H8:H9)</f>
        <v>4</v>
      </c>
      <c r="I10" s="22">
        <f t="shared" si="3"/>
        <v>8</v>
      </c>
      <c r="J10" s="22">
        <f t="shared" si="3"/>
        <v>60</v>
      </c>
      <c r="K10" s="22">
        <f>SUM(K8:K9)</f>
        <v>52</v>
      </c>
      <c r="L10" s="22">
        <f t="shared" ref="L10:M10" si="4">SUM(L8:L9)</f>
        <v>7</v>
      </c>
      <c r="M10" s="22">
        <f t="shared" si="4"/>
        <v>59</v>
      </c>
      <c r="N10" s="22">
        <f>SUM(N8:N9)</f>
        <v>50</v>
      </c>
      <c r="O10" s="22">
        <f t="shared" ref="O10:P10" si="5">SUM(O8:O9)</f>
        <v>10</v>
      </c>
      <c r="P10" s="22">
        <f t="shared" si="5"/>
        <v>60</v>
      </c>
    </row>
    <row r="12" spans="2:16" x14ac:dyDescent="0.35">
      <c r="B12" s="3" t="s">
        <v>188</v>
      </c>
    </row>
    <row r="13" spans="2:16" x14ac:dyDescent="0.35">
      <c r="C13" s="48" t="s">
        <v>71</v>
      </c>
      <c r="D13" s="48"/>
      <c r="E13" s="44"/>
      <c r="F13" s="44"/>
      <c r="G13" s="48" t="s">
        <v>74</v>
      </c>
      <c r="H13" s="48"/>
      <c r="I13" s="48"/>
      <c r="J13" s="48"/>
      <c r="K13" s="48" t="s">
        <v>178</v>
      </c>
      <c r="L13" s="48"/>
      <c r="M13" s="48"/>
      <c r="N13" s="48" t="s">
        <v>179</v>
      </c>
      <c r="O13" s="48"/>
      <c r="P13" s="48"/>
    </row>
    <row r="14" spans="2:16"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275</v>
      </c>
      <c r="P14" s="20" t="s">
        <v>180</v>
      </c>
    </row>
    <row r="15" spans="2:16" x14ac:dyDescent="0.35">
      <c r="B15" s="6" t="s">
        <v>264</v>
      </c>
      <c r="C15" s="23">
        <f t="shared" ref="C15:F17" si="6">C8/$F8</f>
        <v>0.7</v>
      </c>
      <c r="D15" s="23">
        <f t="shared" si="6"/>
        <v>0.26666666666666666</v>
      </c>
      <c r="E15" s="23">
        <f t="shared" si="6"/>
        <v>3.3333333333333333E-2</v>
      </c>
      <c r="F15" s="23">
        <f t="shared" si="6"/>
        <v>1</v>
      </c>
      <c r="G15" s="23">
        <f t="shared" ref="G15:J17" si="7">G8/$J8</f>
        <v>0.76666666666666672</v>
      </c>
      <c r="H15" s="23">
        <f t="shared" si="7"/>
        <v>6.6666666666666666E-2</v>
      </c>
      <c r="I15" s="23">
        <f t="shared" si="7"/>
        <v>0.16666666666666666</v>
      </c>
      <c r="J15" s="23">
        <f t="shared" si="7"/>
        <v>1</v>
      </c>
      <c r="K15" s="23">
        <f t="shared" ref="K15:M17" si="8">K8/$M8</f>
        <v>0.8</v>
      </c>
      <c r="L15" s="23">
        <f t="shared" si="8"/>
        <v>0.2</v>
      </c>
      <c r="M15" s="23">
        <f t="shared" si="8"/>
        <v>1</v>
      </c>
      <c r="N15" s="23">
        <f t="shared" ref="N15:P17" si="9">N8/$P8</f>
        <v>0.83333333333333337</v>
      </c>
      <c r="O15" s="23">
        <f t="shared" si="9"/>
        <v>0.16666666666666666</v>
      </c>
      <c r="P15" s="23">
        <f t="shared" si="9"/>
        <v>1</v>
      </c>
    </row>
    <row r="16" spans="2:16" x14ac:dyDescent="0.35">
      <c r="B16" s="6" t="s">
        <v>265</v>
      </c>
      <c r="C16" s="23">
        <f t="shared" si="6"/>
        <v>0.83333333333333337</v>
      </c>
      <c r="D16" s="23">
        <f t="shared" si="6"/>
        <v>3.3333333333333333E-2</v>
      </c>
      <c r="E16" s="23">
        <f t="shared" si="6"/>
        <v>0.13333333333333333</v>
      </c>
      <c r="F16" s="23">
        <f t="shared" si="6"/>
        <v>1</v>
      </c>
      <c r="G16" s="23">
        <f t="shared" si="7"/>
        <v>0.83333333333333337</v>
      </c>
      <c r="H16" s="23">
        <f t="shared" si="7"/>
        <v>6.6666666666666666E-2</v>
      </c>
      <c r="I16" s="23">
        <f t="shared" si="7"/>
        <v>0.1</v>
      </c>
      <c r="J16" s="23">
        <f t="shared" si="7"/>
        <v>1</v>
      </c>
      <c r="K16" s="23">
        <f t="shared" si="8"/>
        <v>0.96551724137931039</v>
      </c>
      <c r="L16" s="23">
        <f t="shared" si="8"/>
        <v>3.4482758620689655E-2</v>
      </c>
      <c r="M16" s="23">
        <f t="shared" si="8"/>
        <v>1</v>
      </c>
      <c r="N16" s="23">
        <f t="shared" si="9"/>
        <v>0.83333333333333337</v>
      </c>
      <c r="O16" s="23">
        <f t="shared" si="9"/>
        <v>0.16666666666666666</v>
      </c>
      <c r="P16" s="23">
        <f t="shared" si="9"/>
        <v>1</v>
      </c>
    </row>
    <row r="17" spans="2:16" x14ac:dyDescent="0.35">
      <c r="B17" s="3" t="s">
        <v>180</v>
      </c>
      <c r="C17" s="23">
        <f t="shared" si="6"/>
        <v>0.76666666666666672</v>
      </c>
      <c r="D17" s="23">
        <f t="shared" si="6"/>
        <v>0.15</v>
      </c>
      <c r="E17" s="23">
        <f t="shared" si="6"/>
        <v>8.3333333333333329E-2</v>
      </c>
      <c r="F17" s="23">
        <f t="shared" si="6"/>
        <v>1</v>
      </c>
      <c r="G17" s="23">
        <f t="shared" si="7"/>
        <v>0.8</v>
      </c>
      <c r="H17" s="23">
        <f t="shared" si="7"/>
        <v>6.6666666666666666E-2</v>
      </c>
      <c r="I17" s="23">
        <f t="shared" si="7"/>
        <v>0.13333333333333333</v>
      </c>
      <c r="J17" s="23">
        <f t="shared" si="7"/>
        <v>1</v>
      </c>
      <c r="K17" s="23">
        <f t="shared" si="8"/>
        <v>0.88135593220338981</v>
      </c>
      <c r="L17" s="23">
        <f t="shared" si="8"/>
        <v>0.11864406779661017</v>
      </c>
      <c r="M17" s="23">
        <f t="shared" si="8"/>
        <v>1</v>
      </c>
      <c r="N17" s="23">
        <f t="shared" si="9"/>
        <v>0.83333333333333337</v>
      </c>
      <c r="O17" s="23">
        <f t="shared" si="9"/>
        <v>0.16666666666666666</v>
      </c>
      <c r="P17" s="23">
        <f t="shared" si="9"/>
        <v>1</v>
      </c>
    </row>
    <row r="19" spans="2:16" x14ac:dyDescent="0.35">
      <c r="B19" s="3" t="s">
        <v>181</v>
      </c>
    </row>
    <row r="20" spans="2:16" x14ac:dyDescent="0.35">
      <c r="C20" s="48" t="s">
        <v>71</v>
      </c>
      <c r="D20" s="48"/>
      <c r="E20" s="44"/>
      <c r="F20" s="44"/>
      <c r="G20" s="48" t="s">
        <v>74</v>
      </c>
      <c r="H20" s="48"/>
      <c r="I20" s="48"/>
      <c r="J20" s="48"/>
      <c r="K20" s="48" t="s">
        <v>178</v>
      </c>
      <c r="L20" s="48"/>
      <c r="M20" s="48"/>
      <c r="N20" s="48" t="s">
        <v>179</v>
      </c>
      <c r="O20" s="48"/>
      <c r="P20" s="48"/>
    </row>
    <row r="21" spans="2:16"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275</v>
      </c>
      <c r="P21" s="20" t="s">
        <v>180</v>
      </c>
    </row>
    <row r="22" spans="2:16" x14ac:dyDescent="0.35">
      <c r="B22" s="6" t="s">
        <v>264</v>
      </c>
      <c r="C22" s="19">
        <f t="shared" ref="C22:F24" si="10">($F8*C$10)/$F$10</f>
        <v>23</v>
      </c>
      <c r="D22" s="19">
        <f t="shared" si="10"/>
        <v>4.5</v>
      </c>
      <c r="E22" s="19">
        <f t="shared" si="10"/>
        <v>2.5</v>
      </c>
      <c r="F22" s="19">
        <f t="shared" si="10"/>
        <v>30</v>
      </c>
      <c r="G22" s="19">
        <f t="shared" ref="G22:J24" si="11">($J8*G$10)/$J$10</f>
        <v>24</v>
      </c>
      <c r="H22" s="19">
        <f t="shared" si="11"/>
        <v>2</v>
      </c>
      <c r="I22" s="19">
        <f t="shared" si="11"/>
        <v>4</v>
      </c>
      <c r="J22" s="19">
        <f t="shared" si="11"/>
        <v>30</v>
      </c>
      <c r="K22" s="19">
        <f t="shared" ref="K22:M24" si="12">($M8*K$10)/$M$10</f>
        <v>26.440677966101696</v>
      </c>
      <c r="L22" s="19">
        <f t="shared" si="12"/>
        <v>3.5593220338983049</v>
      </c>
      <c r="M22" s="19">
        <f t="shared" si="12"/>
        <v>30</v>
      </c>
      <c r="N22" s="19">
        <f t="shared" ref="N22:P24" si="13">($P8*N$10)/$P$10</f>
        <v>25</v>
      </c>
      <c r="O22" s="19">
        <f t="shared" si="13"/>
        <v>5</v>
      </c>
      <c r="P22" s="19">
        <f t="shared" si="13"/>
        <v>30</v>
      </c>
    </row>
    <row r="23" spans="2:16" x14ac:dyDescent="0.35">
      <c r="B23" s="6" t="s">
        <v>265</v>
      </c>
      <c r="C23" s="19">
        <f t="shared" si="10"/>
        <v>23</v>
      </c>
      <c r="D23" s="19">
        <f t="shared" si="10"/>
        <v>4.5</v>
      </c>
      <c r="E23" s="19">
        <f t="shared" si="10"/>
        <v>2.5</v>
      </c>
      <c r="F23" s="19">
        <f t="shared" si="10"/>
        <v>30</v>
      </c>
      <c r="G23" s="19">
        <f t="shared" si="11"/>
        <v>24</v>
      </c>
      <c r="H23" s="19">
        <f t="shared" si="11"/>
        <v>2</v>
      </c>
      <c r="I23" s="19">
        <f t="shared" si="11"/>
        <v>4</v>
      </c>
      <c r="J23" s="19">
        <f t="shared" si="11"/>
        <v>30</v>
      </c>
      <c r="K23" s="19">
        <f t="shared" si="12"/>
        <v>25.559322033898304</v>
      </c>
      <c r="L23" s="19">
        <f t="shared" si="12"/>
        <v>3.4406779661016951</v>
      </c>
      <c r="M23" s="19">
        <f t="shared" si="12"/>
        <v>29</v>
      </c>
      <c r="N23" s="19">
        <f t="shared" si="13"/>
        <v>25</v>
      </c>
      <c r="O23" s="19">
        <f t="shared" si="13"/>
        <v>5</v>
      </c>
      <c r="P23" s="19">
        <f t="shared" si="13"/>
        <v>30</v>
      </c>
    </row>
    <row r="24" spans="2:16" x14ac:dyDescent="0.35">
      <c r="B24" s="3" t="s">
        <v>180</v>
      </c>
      <c r="C24" s="19">
        <f t="shared" si="10"/>
        <v>46</v>
      </c>
      <c r="D24" s="19">
        <f t="shared" si="10"/>
        <v>9</v>
      </c>
      <c r="E24" s="19">
        <f t="shared" si="10"/>
        <v>5</v>
      </c>
      <c r="F24" s="19">
        <f t="shared" si="10"/>
        <v>60</v>
      </c>
      <c r="G24" s="19">
        <f t="shared" si="11"/>
        <v>48</v>
      </c>
      <c r="H24" s="19">
        <f t="shared" si="11"/>
        <v>4</v>
      </c>
      <c r="I24" s="19">
        <f t="shared" si="11"/>
        <v>8</v>
      </c>
      <c r="J24" s="19">
        <f t="shared" si="11"/>
        <v>60</v>
      </c>
      <c r="K24" s="19">
        <f t="shared" si="12"/>
        <v>52</v>
      </c>
      <c r="L24" s="19">
        <f t="shared" si="12"/>
        <v>7</v>
      </c>
      <c r="M24" s="19">
        <f t="shared" si="12"/>
        <v>59</v>
      </c>
      <c r="N24" s="19">
        <f t="shared" si="13"/>
        <v>50</v>
      </c>
      <c r="O24" s="19">
        <f t="shared" si="13"/>
        <v>10</v>
      </c>
      <c r="P24" s="19">
        <f t="shared" si="13"/>
        <v>60</v>
      </c>
    </row>
    <row r="26" spans="2:16" x14ac:dyDescent="0.35">
      <c r="B26" s="3" t="s">
        <v>182</v>
      </c>
    </row>
    <row r="27" spans="2:16" x14ac:dyDescent="0.35">
      <c r="C27" s="48" t="s">
        <v>71</v>
      </c>
      <c r="D27" s="48"/>
      <c r="E27" s="44"/>
      <c r="F27" s="44"/>
      <c r="G27" s="48" t="s">
        <v>74</v>
      </c>
      <c r="H27" s="48"/>
      <c r="I27" s="48"/>
      <c r="J27" s="48"/>
      <c r="K27" s="48" t="s">
        <v>178</v>
      </c>
      <c r="L27" s="48"/>
      <c r="M27" s="48"/>
      <c r="N27" s="48" t="s">
        <v>179</v>
      </c>
      <c r="O27" s="48"/>
      <c r="P27" s="48"/>
    </row>
    <row r="28" spans="2:16" x14ac:dyDescent="0.35">
      <c r="C28" s="17" t="s">
        <v>273</v>
      </c>
      <c r="D28" s="17" t="s">
        <v>274</v>
      </c>
      <c r="E28" s="17" t="s">
        <v>275</v>
      </c>
      <c r="F28" s="20"/>
      <c r="G28" s="17" t="s">
        <v>273</v>
      </c>
      <c r="H28" s="17" t="s">
        <v>274</v>
      </c>
      <c r="I28" s="17" t="s">
        <v>275</v>
      </c>
      <c r="J28" s="20"/>
      <c r="K28" s="17" t="s">
        <v>277</v>
      </c>
      <c r="L28" s="17" t="s">
        <v>274</v>
      </c>
      <c r="M28" s="20"/>
      <c r="N28" s="17" t="s">
        <v>273</v>
      </c>
      <c r="O28" s="17" t="s">
        <v>275</v>
      </c>
      <c r="P28" s="20"/>
    </row>
    <row r="29" spans="2:16" x14ac:dyDescent="0.35">
      <c r="B29" s="6" t="s">
        <v>264</v>
      </c>
      <c r="C29" s="29">
        <f t="shared" ref="C29:E30" si="14">(C8-C22)^2/C22</f>
        <v>0.17391304347826086</v>
      </c>
      <c r="D29" s="29">
        <f t="shared" si="14"/>
        <v>2.7222222222222223</v>
      </c>
      <c r="E29" s="29">
        <f t="shared" si="14"/>
        <v>0.9</v>
      </c>
      <c r="F29" s="29"/>
      <c r="G29" s="29">
        <f>(G8-G22)^2/G22</f>
        <v>4.1666666666666664E-2</v>
      </c>
      <c r="H29" s="29">
        <f t="shared" ref="H29:I30" si="15">(H8-H22)^2/H22</f>
        <v>0</v>
      </c>
      <c r="I29" s="29">
        <f t="shared" si="15"/>
        <v>0.25</v>
      </c>
      <c r="J29" s="29"/>
      <c r="K29" s="29">
        <f>(K8-K22)^2/K22</f>
        <v>0.22529335071707962</v>
      </c>
      <c r="L29" s="29">
        <f t="shared" ref="L29:L30" si="16">(L8-L22)^2/L22</f>
        <v>1.6736077481840197</v>
      </c>
      <c r="M29" s="29"/>
      <c r="N29" s="29">
        <f>(N8-N22)^2/N22</f>
        <v>0</v>
      </c>
      <c r="O29" s="29">
        <f t="shared" ref="O29:O30" si="17">(O8-O22)^2/O22</f>
        <v>0</v>
      </c>
      <c r="P29" s="21"/>
    </row>
    <row r="30" spans="2:16" x14ac:dyDescent="0.35">
      <c r="B30" s="6" t="s">
        <v>265</v>
      </c>
      <c r="C30" s="29">
        <f t="shared" si="14"/>
        <v>0.17391304347826086</v>
      </c>
      <c r="D30" s="29">
        <f t="shared" si="14"/>
        <v>2.7222222222222223</v>
      </c>
      <c r="E30" s="29">
        <f t="shared" si="14"/>
        <v>0.9</v>
      </c>
      <c r="F30" s="29"/>
      <c r="G30" s="29">
        <f>(G9-G23)^2/G23</f>
        <v>4.1666666666666664E-2</v>
      </c>
      <c r="H30" s="29">
        <f t="shared" si="15"/>
        <v>0</v>
      </c>
      <c r="I30" s="29">
        <f t="shared" si="15"/>
        <v>0.25</v>
      </c>
      <c r="J30" s="29"/>
      <c r="K30" s="29">
        <f>(K9-K23)^2/K23</f>
        <v>0.23306208694870306</v>
      </c>
      <c r="L30" s="29">
        <f t="shared" si="16"/>
        <v>1.731318360190365</v>
      </c>
      <c r="M30" s="29"/>
      <c r="N30" s="29">
        <f>(N9-N23)^2/N23</f>
        <v>0</v>
      </c>
      <c r="O30" s="29">
        <f t="shared" si="17"/>
        <v>0</v>
      </c>
      <c r="P30" s="21"/>
    </row>
    <row r="31" spans="2:16" x14ac:dyDescent="0.35">
      <c r="B31" s="3"/>
      <c r="C31" s="21"/>
      <c r="D31" s="21"/>
      <c r="E31" s="21"/>
      <c r="F31" s="21"/>
      <c r="G31" s="21"/>
      <c r="H31" s="21"/>
      <c r="I31" s="21"/>
      <c r="J31" s="21"/>
      <c r="K31" s="21"/>
      <c r="L31" s="21"/>
      <c r="M31" s="21"/>
      <c r="N31" s="21"/>
      <c r="O31" s="21"/>
      <c r="P31" s="21"/>
    </row>
    <row r="32" spans="2:16" x14ac:dyDescent="0.35">
      <c r="B32" s="3" t="s">
        <v>185</v>
      </c>
      <c r="C32" s="21"/>
      <c r="D32" s="19">
        <v>2</v>
      </c>
      <c r="E32" s="19"/>
      <c r="F32" s="21"/>
      <c r="G32" s="19">
        <f>D32</f>
        <v>2</v>
      </c>
      <c r="H32" s="21"/>
      <c r="I32" s="21"/>
      <c r="J32" s="21"/>
      <c r="K32" s="19">
        <v>1</v>
      </c>
      <c r="L32" s="21"/>
      <c r="M32" s="21"/>
      <c r="N32" s="19">
        <v>1</v>
      </c>
      <c r="O32" s="21"/>
      <c r="P32" s="21"/>
    </row>
    <row r="33" spans="1:14" x14ac:dyDescent="0.35">
      <c r="B33" s="3" t="s">
        <v>183</v>
      </c>
      <c r="D33" s="13">
        <f>C29+C30+D29+D30+E29+E30</f>
        <v>7.5922705314009669</v>
      </c>
      <c r="E33" s="13"/>
      <c r="F33" s="13"/>
      <c r="G33" s="13">
        <f>G29+H29+G30+H30+I29+I30</f>
        <v>0.58333333333333326</v>
      </c>
      <c r="H33" s="13"/>
      <c r="I33" s="13"/>
      <c r="J33" s="13"/>
      <c r="K33" s="13">
        <f>K29+L29+K30+L30</f>
        <v>3.8632815460401675</v>
      </c>
      <c r="L33" s="13"/>
      <c r="M33" s="13"/>
      <c r="N33" s="13">
        <f>N29+N30+O29+O30</f>
        <v>0</v>
      </c>
    </row>
    <row r="34" spans="1:14" x14ac:dyDescent="0.35">
      <c r="B34" s="3" t="s">
        <v>184</v>
      </c>
      <c r="D34" s="24">
        <f>_xlfn.CHISQ.DIST.RT(D33,D32)</f>
        <v>2.2457396227735092E-2</v>
      </c>
      <c r="E34" s="32"/>
      <c r="G34" s="24">
        <f>_xlfn.CHISQ.DIST.RT(G33,G32)</f>
        <v>0.74701750031043257</v>
      </c>
      <c r="K34" s="24">
        <f>_xlfn.CHISQ.DIST.RT(K33,K32)</f>
        <v>4.935371035414958E-2</v>
      </c>
      <c r="N34" s="24">
        <f>_xlfn.CHISQ.DIST.RT(N33,N32)</f>
        <v>1</v>
      </c>
    </row>
    <row r="36" spans="1:14" x14ac:dyDescent="0.35">
      <c r="A36" s="36">
        <v>1</v>
      </c>
      <c r="B36" s="3" t="s">
        <v>189</v>
      </c>
      <c r="J36" s="9"/>
      <c r="K36" s="3"/>
    </row>
    <row r="37" spans="1:14" x14ac:dyDescent="0.35">
      <c r="C37" s="6" t="s">
        <v>273</v>
      </c>
      <c r="D37" s="6" t="s">
        <v>274</v>
      </c>
      <c r="E37" s="6" t="s">
        <v>180</v>
      </c>
      <c r="L37" s="48"/>
      <c r="M37" s="48"/>
      <c r="N37" s="44"/>
    </row>
    <row r="38" spans="1:14" x14ac:dyDescent="0.35">
      <c r="B38" s="6" t="s">
        <v>264</v>
      </c>
      <c r="C38">
        <f>C8</f>
        <v>21</v>
      </c>
      <c r="D38">
        <f>D8</f>
        <v>8</v>
      </c>
      <c r="E38">
        <f>SUM(C38:D38)</f>
        <v>29</v>
      </c>
      <c r="L38" s="17"/>
      <c r="M38" s="6"/>
      <c r="N38" s="17"/>
    </row>
    <row r="39" spans="1:14" x14ac:dyDescent="0.35">
      <c r="B39" s="6" t="s">
        <v>265</v>
      </c>
      <c r="C39">
        <f>C9</f>
        <v>25</v>
      </c>
      <c r="D39">
        <f>D9</f>
        <v>1</v>
      </c>
      <c r="E39">
        <f>SUM(C39:D39)</f>
        <v>26</v>
      </c>
      <c r="K39" s="6"/>
      <c r="L39" s="29"/>
      <c r="M39" s="29"/>
      <c r="N39" s="29"/>
    </row>
    <row r="40" spans="1:14" x14ac:dyDescent="0.35">
      <c r="B40" t="s">
        <v>180</v>
      </c>
      <c r="C40">
        <f>SUM(C38:C39)</f>
        <v>46</v>
      </c>
      <c r="D40">
        <f t="shared" ref="D40:E40" si="18">SUM(D38:D39)</f>
        <v>9</v>
      </c>
      <c r="E40">
        <f t="shared" si="18"/>
        <v>55</v>
      </c>
      <c r="K40" s="6"/>
      <c r="L40" s="29"/>
      <c r="M40" s="29"/>
      <c r="N40" s="29"/>
    </row>
    <row r="42" spans="1:14" x14ac:dyDescent="0.35">
      <c r="B42" s="3" t="s">
        <v>181</v>
      </c>
      <c r="K42" s="3"/>
      <c r="L42" s="21"/>
      <c r="M42" s="19"/>
    </row>
    <row r="43" spans="1:14" x14ac:dyDescent="0.35">
      <c r="C43" s="6" t="s">
        <v>273</v>
      </c>
      <c r="D43" s="6" t="s">
        <v>274</v>
      </c>
      <c r="E43" s="6" t="s">
        <v>180</v>
      </c>
      <c r="K43" s="3"/>
      <c r="M43" s="13"/>
    </row>
    <row r="44" spans="1:14" x14ac:dyDescent="0.35">
      <c r="B44" s="6" t="s">
        <v>264</v>
      </c>
      <c r="C44" s="2">
        <f>($E38*C$40)/$E$40</f>
        <v>24.254545454545454</v>
      </c>
      <c r="D44" s="2">
        <f t="shared" ref="D44:E44" si="19">($E38*D$40)/$E$40</f>
        <v>4.7454545454545451</v>
      </c>
      <c r="E44" s="2">
        <f t="shared" si="19"/>
        <v>29</v>
      </c>
      <c r="K44" s="3"/>
      <c r="M44" s="32"/>
    </row>
    <row r="45" spans="1:14" x14ac:dyDescent="0.35">
      <c r="B45" s="6" t="s">
        <v>265</v>
      </c>
      <c r="C45" s="2">
        <f t="shared" ref="C45:E46" si="20">($E39*C$40)/$E$40</f>
        <v>21.745454545454546</v>
      </c>
      <c r="D45" s="2">
        <f t="shared" si="20"/>
        <v>4.2545454545454549</v>
      </c>
      <c r="E45" s="2">
        <f t="shared" si="20"/>
        <v>26</v>
      </c>
    </row>
    <row r="46" spans="1:14" x14ac:dyDescent="0.35">
      <c r="B46" t="s">
        <v>180</v>
      </c>
      <c r="C46" s="2">
        <f t="shared" si="20"/>
        <v>46</v>
      </c>
      <c r="D46" s="2">
        <f t="shared" si="20"/>
        <v>9</v>
      </c>
      <c r="E46" s="2">
        <f t="shared" si="20"/>
        <v>55</v>
      </c>
    </row>
    <row r="48" spans="1:14" x14ac:dyDescent="0.35">
      <c r="B48" s="3" t="s">
        <v>182</v>
      </c>
    </row>
    <row r="49" spans="1:5" x14ac:dyDescent="0.35">
      <c r="C49" s="48" t="s">
        <v>71</v>
      </c>
      <c r="D49" s="48"/>
      <c r="E49" s="46"/>
    </row>
    <row r="50" spans="1:5" x14ac:dyDescent="0.35">
      <c r="C50" s="17" t="s">
        <v>273</v>
      </c>
      <c r="D50" s="17" t="s">
        <v>274</v>
      </c>
      <c r="E50" s="17"/>
    </row>
    <row r="51" spans="1:5" x14ac:dyDescent="0.35">
      <c r="B51" s="6" t="s">
        <v>264</v>
      </c>
      <c r="C51" s="29">
        <f>(C38-C44)^2/C44</f>
        <v>0.43670437508518456</v>
      </c>
      <c r="D51" s="29">
        <f>(D38-D44)^2/D44</f>
        <v>2.2320445837687224</v>
      </c>
      <c r="E51" s="29"/>
    </row>
    <row r="52" spans="1:5" x14ac:dyDescent="0.35">
      <c r="B52" s="6" t="s">
        <v>265</v>
      </c>
      <c r="C52" s="29">
        <f>(C39-C45)^2/C45</f>
        <v>0.48709334144116734</v>
      </c>
      <c r="D52" s="29">
        <f>(D39-D45)^2/D45</f>
        <v>2.4895881895881899</v>
      </c>
      <c r="E52" s="29"/>
    </row>
    <row r="54" spans="1:5" x14ac:dyDescent="0.35">
      <c r="B54" s="3" t="s">
        <v>185</v>
      </c>
      <c r="C54" s="21"/>
      <c r="D54" s="19">
        <v>1</v>
      </c>
    </row>
    <row r="55" spans="1:5" x14ac:dyDescent="0.35">
      <c r="B55" s="3" t="s">
        <v>183</v>
      </c>
      <c r="D55" s="13">
        <f>C51+C52+D51+D52</f>
        <v>5.6454304898832639</v>
      </c>
    </row>
    <row r="56" spans="1:5" x14ac:dyDescent="0.35">
      <c r="B56" s="3" t="s">
        <v>184</v>
      </c>
      <c r="D56" s="24">
        <f>_xlfn.CHISQ.DIST.RT(D55,D54)</f>
        <v>1.7500918941801665E-2</v>
      </c>
    </row>
    <row r="58" spans="1:5" x14ac:dyDescent="0.35">
      <c r="A58" s="36">
        <v>2</v>
      </c>
      <c r="B58" s="3" t="s">
        <v>189</v>
      </c>
    </row>
    <row r="59" spans="1:5" x14ac:dyDescent="0.35">
      <c r="C59" s="6" t="s">
        <v>273</v>
      </c>
      <c r="D59" s="6" t="s">
        <v>275</v>
      </c>
      <c r="E59" s="6" t="s">
        <v>180</v>
      </c>
    </row>
    <row r="60" spans="1:5" x14ac:dyDescent="0.35">
      <c r="B60" s="6" t="s">
        <v>264</v>
      </c>
      <c r="C60">
        <f>C8</f>
        <v>21</v>
      </c>
      <c r="D60">
        <f>E8</f>
        <v>1</v>
      </c>
      <c r="E60">
        <f>SUM(C60:D60)</f>
        <v>22</v>
      </c>
    </row>
    <row r="61" spans="1:5" x14ac:dyDescent="0.35">
      <c r="B61" s="6" t="s">
        <v>265</v>
      </c>
      <c r="C61">
        <f>C9</f>
        <v>25</v>
      </c>
      <c r="D61">
        <f t="shared" ref="D61:D62" si="21">E9</f>
        <v>4</v>
      </c>
      <c r="E61">
        <f>SUM(C61:D61)</f>
        <v>29</v>
      </c>
    </row>
    <row r="62" spans="1:5" x14ac:dyDescent="0.35">
      <c r="B62" t="s">
        <v>180</v>
      </c>
      <c r="C62">
        <f>SUM(C60:C61)</f>
        <v>46</v>
      </c>
      <c r="D62">
        <f t="shared" si="21"/>
        <v>5</v>
      </c>
      <c r="E62">
        <f t="shared" ref="E62" si="22">SUM(E60:E61)</f>
        <v>51</v>
      </c>
    </row>
    <row r="64" spans="1:5" x14ac:dyDescent="0.35">
      <c r="B64" s="3" t="s">
        <v>181</v>
      </c>
    </row>
    <row r="65" spans="2:5" x14ac:dyDescent="0.35">
      <c r="C65" s="6" t="s">
        <v>273</v>
      </c>
      <c r="D65" s="6" t="s">
        <v>274</v>
      </c>
      <c r="E65" s="6" t="s">
        <v>180</v>
      </c>
    </row>
    <row r="66" spans="2:5" x14ac:dyDescent="0.35">
      <c r="B66" s="6" t="s">
        <v>264</v>
      </c>
      <c r="C66" s="2">
        <f>($E60*C$62)/$E$62</f>
        <v>19.843137254901961</v>
      </c>
      <c r="D66" s="2">
        <f>($E60*D$62)/$E$62</f>
        <v>2.1568627450980391</v>
      </c>
      <c r="E66" s="2">
        <f t="shared" ref="E66:E67" si="23">($E60*E$40)/$E$40</f>
        <v>22</v>
      </c>
    </row>
    <row r="67" spans="2:5" x14ac:dyDescent="0.35">
      <c r="B67" s="6" t="s">
        <v>265</v>
      </c>
      <c r="C67" s="2">
        <f>($E61*C$62)/$E$62</f>
        <v>26.156862745098039</v>
      </c>
      <c r="D67" s="2">
        <f>($E61*D$62)/$E$62</f>
        <v>2.8431372549019609</v>
      </c>
      <c r="E67" s="2">
        <f t="shared" si="23"/>
        <v>29</v>
      </c>
    </row>
    <row r="68" spans="2:5" x14ac:dyDescent="0.35">
      <c r="B68" t="s">
        <v>180</v>
      </c>
      <c r="C68" s="2">
        <f t="shared" ref="C68:E68" si="24">($E62*C$40)/$E$40</f>
        <v>42.654545454545456</v>
      </c>
      <c r="D68" s="2">
        <f t="shared" si="24"/>
        <v>8.3454545454545457</v>
      </c>
      <c r="E68" s="2">
        <f t="shared" si="24"/>
        <v>51</v>
      </c>
    </row>
    <row r="70" spans="2:5" x14ac:dyDescent="0.35">
      <c r="B70" s="3" t="s">
        <v>182</v>
      </c>
    </row>
    <row r="71" spans="2:5" x14ac:dyDescent="0.35">
      <c r="C71" s="48" t="s">
        <v>71</v>
      </c>
      <c r="D71" s="48"/>
      <c r="E71" s="46"/>
    </row>
    <row r="72" spans="2:5" x14ac:dyDescent="0.35">
      <c r="C72" s="17" t="s">
        <v>273</v>
      </c>
      <c r="D72" s="17" t="s">
        <v>274</v>
      </c>
      <c r="E72" s="17"/>
    </row>
    <row r="73" spans="2:5" x14ac:dyDescent="0.35">
      <c r="B73" s="6" t="s">
        <v>264</v>
      </c>
      <c r="C73" s="29">
        <f>(C60-C66)^2/C66</f>
        <v>6.744555529721763E-2</v>
      </c>
      <c r="D73" s="29">
        <f>(D60-D66)^2/D66</f>
        <v>0.62049910873440284</v>
      </c>
      <c r="E73" s="29"/>
    </row>
    <row r="74" spans="2:5" x14ac:dyDescent="0.35">
      <c r="B74" s="6" t="s">
        <v>265</v>
      </c>
      <c r="C74" s="29">
        <f>(C61-C67)^2/C67</f>
        <v>5.1165593673751314E-2</v>
      </c>
      <c r="D74" s="29">
        <f>(D61-D67)^2/D67</f>
        <v>0.47072346179851243</v>
      </c>
      <c r="E74" s="29"/>
    </row>
    <row r="76" spans="2:5" x14ac:dyDescent="0.35">
      <c r="B76" s="3" t="s">
        <v>185</v>
      </c>
      <c r="C76" s="21"/>
      <c r="D76" s="19">
        <v>1</v>
      </c>
    </row>
    <row r="77" spans="2:5" x14ac:dyDescent="0.35">
      <c r="B77" s="3" t="s">
        <v>183</v>
      </c>
      <c r="D77" s="13">
        <f>C73+C74+D73+D74</f>
        <v>1.2098337195038842</v>
      </c>
    </row>
    <row r="78" spans="2:5" x14ac:dyDescent="0.35">
      <c r="B78" s="3" t="s">
        <v>184</v>
      </c>
      <c r="D78" s="24">
        <f>_xlfn.CHISQ.DIST.RT(D77,D76)</f>
        <v>0.27136505581880632</v>
      </c>
    </row>
  </sheetData>
  <mergeCells count="19">
    <mergeCell ref="C6:D6"/>
    <mergeCell ref="G6:J6"/>
    <mergeCell ref="K6:M6"/>
    <mergeCell ref="N6:P6"/>
    <mergeCell ref="C13:D13"/>
    <mergeCell ref="G13:J13"/>
    <mergeCell ref="K13:M13"/>
    <mergeCell ref="N13:P13"/>
    <mergeCell ref="N20:P20"/>
    <mergeCell ref="C27:D27"/>
    <mergeCell ref="G27:J27"/>
    <mergeCell ref="K27:M27"/>
    <mergeCell ref="N27:P27"/>
    <mergeCell ref="C49:D49"/>
    <mergeCell ref="C71:D71"/>
    <mergeCell ref="L37:M37"/>
    <mergeCell ref="C20:D20"/>
    <mergeCell ref="G20:J20"/>
    <mergeCell ref="K20:M20"/>
  </mergeCells>
  <pageMargins left="0.7" right="0.7" top="0.75" bottom="0.75"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78"/>
  <sheetViews>
    <sheetView topLeftCell="B1" workbookViewId="0">
      <selection activeCell="G8" sqref="G8"/>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customWidth="1"/>
  </cols>
  <sheetData>
    <row r="2" spans="2:16" x14ac:dyDescent="0.35">
      <c r="C2" s="22" t="s">
        <v>186</v>
      </c>
    </row>
    <row r="3" spans="2:16" x14ac:dyDescent="0.35">
      <c r="C3" s="22" t="s">
        <v>187</v>
      </c>
    </row>
    <row r="5" spans="2:16" x14ac:dyDescent="0.35">
      <c r="B5" s="3" t="s">
        <v>189</v>
      </c>
    </row>
    <row r="6" spans="2:16" x14ac:dyDescent="0.35">
      <c r="C6" s="48" t="s">
        <v>71</v>
      </c>
      <c r="D6" s="48"/>
      <c r="E6" s="45"/>
      <c r="F6" s="45"/>
      <c r="G6" s="48" t="s">
        <v>74</v>
      </c>
      <c r="H6" s="48"/>
      <c r="I6" s="48"/>
      <c r="J6" s="48"/>
      <c r="K6" s="48" t="s">
        <v>178</v>
      </c>
      <c r="L6" s="48"/>
      <c r="M6" s="48"/>
      <c r="N6" s="48" t="s">
        <v>179</v>
      </c>
      <c r="O6" s="48"/>
      <c r="P6" s="48"/>
    </row>
    <row r="7" spans="2:16"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275</v>
      </c>
      <c r="P7" s="20" t="s">
        <v>180</v>
      </c>
    </row>
    <row r="8" spans="2:16" x14ac:dyDescent="0.35">
      <c r="B8" s="6" t="s">
        <v>256</v>
      </c>
      <c r="C8" s="18">
        <f>COUNTIFS(datasheet_control!V2:V124,0,datasheet_control!AE2:AE124,1)</f>
        <v>14</v>
      </c>
      <c r="D8" s="18">
        <f>COUNTIFS(datasheet_control!V2:V124,"&lt;0",datasheet_control!AE2:AE124,1)</f>
        <v>6</v>
      </c>
      <c r="E8" s="18">
        <f>COUNTIFS(datasheet_control!V2:V124,"&gt;0",datasheet_control!AE2:AE124,1)</f>
        <v>1</v>
      </c>
      <c r="F8" s="18">
        <f>SUM(C8:E8)</f>
        <v>21</v>
      </c>
      <c r="G8" s="18">
        <f>COUNTIFS(datasheet_control!Y2:Y124,0,datasheet_control!AE2:AE124,1)</f>
        <v>16</v>
      </c>
      <c r="H8" s="18">
        <f>COUNTIFS(datasheet_control!Y2:Y124,"&lt;0",datasheet_control!AE2:AE124,1)</f>
        <v>2</v>
      </c>
      <c r="I8" s="18">
        <f>COUNTIFS(datasheet_control!Y2:Y124,"&gt;0",datasheet_control!AE2:AE124,1)</f>
        <v>3</v>
      </c>
      <c r="J8" s="18">
        <f>SUM(G8:I8)</f>
        <v>21</v>
      </c>
      <c r="K8" s="18">
        <f>COUNTIFS(datasheet_control!P2:P124,"&gt;=0",datasheet_control!AE2:AE124,1)</f>
        <v>17</v>
      </c>
      <c r="L8" s="18">
        <f>COUNTIFS(datasheet_control!P2:P124,"&lt;0",datasheet_control!AE2:AE124,1)</f>
        <v>3</v>
      </c>
      <c r="M8" s="18">
        <f>SUM(K8:L8)</f>
        <v>20</v>
      </c>
      <c r="N8" s="18">
        <f>COUNTIFS(datasheet_control!M2:M124,0,datasheet_control!AE2:AE124,1)</f>
        <v>16</v>
      </c>
      <c r="O8" s="18">
        <f>COUNTIFS(datasheet_control!M2:M124,"&gt;0",datasheet_control!AE2:AE124,1)</f>
        <v>5</v>
      </c>
      <c r="P8" s="18">
        <f>SUM(N8:O8)</f>
        <v>21</v>
      </c>
    </row>
    <row r="9" spans="2:16" x14ac:dyDescent="0.35">
      <c r="B9" s="6" t="s">
        <v>257</v>
      </c>
      <c r="C9" s="18">
        <f>COUNTIFS(datasheet_control!V2:V124,0,datasheet_control!AE2:AE124,0)</f>
        <v>32</v>
      </c>
      <c r="D9" s="18">
        <f>COUNTIFS(datasheet_control!V2:V124,"&lt;0",datasheet_control!AE2:AE124,0)</f>
        <v>3</v>
      </c>
      <c r="E9" s="18">
        <f>COUNTIFS(datasheet_control!V2:V124,"&gt;0",datasheet_control!AE2:AE124,0)</f>
        <v>4</v>
      </c>
      <c r="F9" s="18">
        <f t="shared" ref="F9" si="0">SUM(C9:E9)</f>
        <v>39</v>
      </c>
      <c r="G9" s="18">
        <f>COUNTIFS(datasheet_control!Y2:Y124,0,datasheet_control!AE2:AE124,0)</f>
        <v>32</v>
      </c>
      <c r="H9" s="18">
        <f>COUNTIFS(datasheet_control!Y2:Y124,"&lt;0",datasheet_control!AE2:AE124,0)</f>
        <v>2</v>
      </c>
      <c r="I9" s="18">
        <f>COUNTIFS(datasheet_control!Y2:Y124,"&gt;0",datasheet_control!AE2:AE124,0)</f>
        <v>5</v>
      </c>
      <c r="J9" s="18">
        <f t="shared" ref="J9" si="1">SUM(G9:I9)</f>
        <v>39</v>
      </c>
      <c r="K9" s="18">
        <f>COUNTIFS(datasheet_control!P2:P124,"&gt;=0",datasheet_control!AE2:AE124,0)</f>
        <v>35</v>
      </c>
      <c r="L9" s="18">
        <f>COUNTIFS(datasheet_control!P2:P124,"&lt;0",datasheet_control!AE2:AE124,0)</f>
        <v>4</v>
      </c>
      <c r="M9" s="18">
        <f>SUM(K9:L9)</f>
        <v>39</v>
      </c>
      <c r="N9" s="18">
        <f>COUNTIFS(datasheet_control!M2:M124,0,datasheet_control!AE2:AE124,0)</f>
        <v>34</v>
      </c>
      <c r="O9" s="18">
        <f>COUNTIFS(datasheet_control!M2:M124,"&gt;0",datasheet_control!AE2:AE124,0)</f>
        <v>5</v>
      </c>
      <c r="P9" s="18">
        <f>SUM(N9:O9)</f>
        <v>39</v>
      </c>
    </row>
    <row r="10" spans="2:16" x14ac:dyDescent="0.35">
      <c r="B10" s="3" t="s">
        <v>180</v>
      </c>
      <c r="C10" s="18">
        <f>SUM(C8:C9)</f>
        <v>46</v>
      </c>
      <c r="D10" s="18">
        <f t="shared" ref="D10:J10" si="2">SUM(D8:D9)</f>
        <v>9</v>
      </c>
      <c r="E10" s="18">
        <f t="shared" si="2"/>
        <v>5</v>
      </c>
      <c r="F10" s="18">
        <f t="shared" si="2"/>
        <v>60</v>
      </c>
      <c r="G10" s="18">
        <f t="shared" si="2"/>
        <v>48</v>
      </c>
      <c r="H10" s="18">
        <f t="shared" si="2"/>
        <v>4</v>
      </c>
      <c r="I10" s="18">
        <f t="shared" si="2"/>
        <v>8</v>
      </c>
      <c r="J10" s="18">
        <f t="shared" si="2"/>
        <v>60</v>
      </c>
      <c r="K10" s="18">
        <f>SUM(K8:K9)</f>
        <v>52</v>
      </c>
      <c r="L10" s="18">
        <f t="shared" ref="L10" si="3">SUM(L8:L9)</f>
        <v>7</v>
      </c>
      <c r="M10" s="18">
        <f>SUM(K10:L10)</f>
        <v>59</v>
      </c>
      <c r="N10" s="22">
        <f>SUM(N8:N9)</f>
        <v>50</v>
      </c>
      <c r="O10" s="22">
        <f t="shared" ref="O10:P10" si="4">SUM(O8:O9)</f>
        <v>10</v>
      </c>
      <c r="P10" s="22">
        <f t="shared" si="4"/>
        <v>60</v>
      </c>
    </row>
    <row r="12" spans="2:16" x14ac:dyDescent="0.35">
      <c r="B12" s="3" t="s">
        <v>188</v>
      </c>
    </row>
    <row r="13" spans="2:16" x14ac:dyDescent="0.35">
      <c r="C13" s="48" t="s">
        <v>71</v>
      </c>
      <c r="D13" s="48"/>
      <c r="E13" s="45"/>
      <c r="F13" s="45"/>
      <c r="G13" s="48" t="s">
        <v>74</v>
      </c>
      <c r="H13" s="48"/>
      <c r="I13" s="48"/>
      <c r="J13" s="48"/>
      <c r="K13" s="48" t="s">
        <v>178</v>
      </c>
      <c r="L13" s="48"/>
      <c r="M13" s="48"/>
      <c r="N13" s="48" t="s">
        <v>179</v>
      </c>
      <c r="O13" s="48"/>
      <c r="P13" s="48"/>
    </row>
    <row r="14" spans="2:16"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275</v>
      </c>
      <c r="P14" s="20" t="s">
        <v>180</v>
      </c>
    </row>
    <row r="15" spans="2:16" x14ac:dyDescent="0.35">
      <c r="B15" s="6" t="s">
        <v>256</v>
      </c>
      <c r="C15" s="23">
        <f t="shared" ref="C15:F17" si="5">C8/$F8</f>
        <v>0.66666666666666663</v>
      </c>
      <c r="D15" s="23">
        <f>D8/$F8</f>
        <v>0.2857142857142857</v>
      </c>
      <c r="E15" s="23">
        <f t="shared" si="5"/>
        <v>4.7619047619047616E-2</v>
      </c>
      <c r="F15" s="23">
        <f t="shared" si="5"/>
        <v>1</v>
      </c>
      <c r="G15" s="23">
        <f t="shared" ref="G15:J17" si="6">G8/$J8</f>
        <v>0.76190476190476186</v>
      </c>
      <c r="H15" s="23">
        <f t="shared" si="6"/>
        <v>9.5238095238095233E-2</v>
      </c>
      <c r="I15" s="23">
        <f t="shared" si="6"/>
        <v>0.14285714285714285</v>
      </c>
      <c r="J15" s="23">
        <f t="shared" si="6"/>
        <v>1</v>
      </c>
      <c r="K15" s="23">
        <f t="shared" ref="K15:M17" si="7">K8/$M8</f>
        <v>0.85</v>
      </c>
      <c r="L15" s="23">
        <f t="shared" si="7"/>
        <v>0.15</v>
      </c>
      <c r="M15" s="23">
        <f t="shared" si="7"/>
        <v>1</v>
      </c>
      <c r="N15" s="23">
        <f t="shared" ref="N15:P17" si="8">N8/$P8</f>
        <v>0.76190476190476186</v>
      </c>
      <c r="O15" s="23">
        <f t="shared" si="8"/>
        <v>0.23809523809523808</v>
      </c>
      <c r="P15" s="23">
        <f t="shared" si="8"/>
        <v>1</v>
      </c>
    </row>
    <row r="16" spans="2:16" x14ac:dyDescent="0.35">
      <c r="B16" s="6" t="s">
        <v>257</v>
      </c>
      <c r="C16" s="23">
        <f t="shared" si="5"/>
        <v>0.82051282051282048</v>
      </c>
      <c r="D16" s="23">
        <f t="shared" si="5"/>
        <v>7.6923076923076927E-2</v>
      </c>
      <c r="E16" s="23">
        <f t="shared" si="5"/>
        <v>0.10256410256410256</v>
      </c>
      <c r="F16" s="23">
        <f t="shared" si="5"/>
        <v>1</v>
      </c>
      <c r="G16" s="23">
        <f t="shared" si="6"/>
        <v>0.82051282051282048</v>
      </c>
      <c r="H16" s="23">
        <f t="shared" si="6"/>
        <v>5.128205128205128E-2</v>
      </c>
      <c r="I16" s="23">
        <f t="shared" si="6"/>
        <v>0.12820512820512819</v>
      </c>
      <c r="J16" s="23">
        <f t="shared" si="6"/>
        <v>1</v>
      </c>
      <c r="K16" s="23">
        <f t="shared" si="7"/>
        <v>0.89743589743589747</v>
      </c>
      <c r="L16" s="23">
        <f t="shared" si="7"/>
        <v>0.10256410256410256</v>
      </c>
      <c r="M16" s="23">
        <f t="shared" si="7"/>
        <v>1</v>
      </c>
      <c r="N16" s="23">
        <f t="shared" si="8"/>
        <v>0.87179487179487181</v>
      </c>
      <c r="O16" s="23">
        <f t="shared" si="8"/>
        <v>0.12820512820512819</v>
      </c>
      <c r="P16" s="23">
        <f t="shared" si="8"/>
        <v>1</v>
      </c>
    </row>
    <row r="17" spans="2:16" x14ac:dyDescent="0.35">
      <c r="B17" s="3" t="s">
        <v>180</v>
      </c>
      <c r="C17" s="23">
        <f t="shared" si="5"/>
        <v>0.76666666666666672</v>
      </c>
      <c r="D17" s="23">
        <f t="shared" si="5"/>
        <v>0.15</v>
      </c>
      <c r="E17" s="23">
        <f t="shared" si="5"/>
        <v>8.3333333333333329E-2</v>
      </c>
      <c r="F17" s="23">
        <f t="shared" si="5"/>
        <v>1</v>
      </c>
      <c r="G17" s="23">
        <f t="shared" si="6"/>
        <v>0.8</v>
      </c>
      <c r="H17" s="23">
        <f t="shared" si="6"/>
        <v>6.6666666666666666E-2</v>
      </c>
      <c r="I17" s="23">
        <f t="shared" si="6"/>
        <v>0.13333333333333333</v>
      </c>
      <c r="J17" s="23">
        <f t="shared" si="6"/>
        <v>1</v>
      </c>
      <c r="K17" s="23">
        <f t="shared" si="7"/>
        <v>0.88135593220338981</v>
      </c>
      <c r="L17" s="23">
        <f t="shared" si="7"/>
        <v>0.11864406779661017</v>
      </c>
      <c r="M17" s="23">
        <f t="shared" si="7"/>
        <v>1</v>
      </c>
      <c r="N17" s="23">
        <f t="shared" si="8"/>
        <v>0.83333333333333337</v>
      </c>
      <c r="O17" s="23">
        <f t="shared" si="8"/>
        <v>0.16666666666666666</v>
      </c>
      <c r="P17" s="23">
        <f t="shared" si="8"/>
        <v>1</v>
      </c>
    </row>
    <row r="19" spans="2:16" x14ac:dyDescent="0.35">
      <c r="B19" s="3" t="s">
        <v>181</v>
      </c>
    </row>
    <row r="20" spans="2:16" x14ac:dyDescent="0.35">
      <c r="C20" s="48" t="s">
        <v>71</v>
      </c>
      <c r="D20" s="48"/>
      <c r="E20" s="45"/>
      <c r="F20" s="45"/>
      <c r="G20" s="48" t="s">
        <v>74</v>
      </c>
      <c r="H20" s="48"/>
      <c r="I20" s="48"/>
      <c r="J20" s="48"/>
      <c r="K20" s="48" t="s">
        <v>178</v>
      </c>
      <c r="L20" s="48"/>
      <c r="M20" s="48"/>
      <c r="N20" s="48" t="s">
        <v>179</v>
      </c>
      <c r="O20" s="48"/>
      <c r="P20" s="48"/>
    </row>
    <row r="21" spans="2:16"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275</v>
      </c>
      <c r="P21" s="20" t="s">
        <v>180</v>
      </c>
    </row>
    <row r="22" spans="2:16" x14ac:dyDescent="0.35">
      <c r="B22" s="6" t="s">
        <v>256</v>
      </c>
      <c r="C22" s="19">
        <f t="shared" ref="C22:F24" si="9">($F8*C$10)/$F$10</f>
        <v>16.100000000000001</v>
      </c>
      <c r="D22" s="19">
        <f t="shared" si="9"/>
        <v>3.15</v>
      </c>
      <c r="E22" s="19">
        <f t="shared" si="9"/>
        <v>1.75</v>
      </c>
      <c r="F22" s="19">
        <f t="shared" si="9"/>
        <v>21</v>
      </c>
      <c r="G22" s="19">
        <f t="shared" ref="G22:J24" si="10">($J8*G$10)/$J$10</f>
        <v>16.8</v>
      </c>
      <c r="H22" s="19">
        <f t="shared" si="10"/>
        <v>1.4</v>
      </c>
      <c r="I22" s="19">
        <f t="shared" si="10"/>
        <v>2.8</v>
      </c>
      <c r="J22" s="19">
        <f t="shared" si="10"/>
        <v>21</v>
      </c>
      <c r="K22" s="19">
        <f t="shared" ref="K22:M24" si="11">($M8*K$10)/$M$10</f>
        <v>17.627118644067796</v>
      </c>
      <c r="L22" s="19">
        <f t="shared" si="11"/>
        <v>2.3728813559322033</v>
      </c>
      <c r="M22" s="19">
        <f t="shared" si="11"/>
        <v>20</v>
      </c>
      <c r="N22" s="19">
        <f t="shared" ref="N22:P24" si="12">($P8*N$10)/$P$10</f>
        <v>17.5</v>
      </c>
      <c r="O22" s="19">
        <f t="shared" si="12"/>
        <v>3.5</v>
      </c>
      <c r="P22" s="19">
        <f t="shared" si="12"/>
        <v>21</v>
      </c>
    </row>
    <row r="23" spans="2:16" x14ac:dyDescent="0.35">
      <c r="B23" s="6" t="s">
        <v>257</v>
      </c>
      <c r="C23" s="19">
        <f t="shared" si="9"/>
        <v>29.9</v>
      </c>
      <c r="D23" s="19">
        <f t="shared" si="9"/>
        <v>5.85</v>
      </c>
      <c r="E23" s="19">
        <f t="shared" si="9"/>
        <v>3.25</v>
      </c>
      <c r="F23" s="19">
        <f t="shared" si="9"/>
        <v>39</v>
      </c>
      <c r="G23" s="19">
        <f t="shared" si="10"/>
        <v>31.2</v>
      </c>
      <c r="H23" s="19">
        <f t="shared" si="10"/>
        <v>2.6</v>
      </c>
      <c r="I23" s="19">
        <f t="shared" si="10"/>
        <v>5.2</v>
      </c>
      <c r="J23" s="19">
        <f t="shared" si="10"/>
        <v>39</v>
      </c>
      <c r="K23" s="19">
        <f t="shared" si="11"/>
        <v>34.372881355932201</v>
      </c>
      <c r="L23" s="19">
        <f t="shared" si="11"/>
        <v>4.6271186440677967</v>
      </c>
      <c r="M23" s="19">
        <f t="shared" si="11"/>
        <v>39</v>
      </c>
      <c r="N23" s="19">
        <f t="shared" si="12"/>
        <v>32.5</v>
      </c>
      <c r="O23" s="19">
        <f t="shared" si="12"/>
        <v>6.5</v>
      </c>
      <c r="P23" s="19">
        <f t="shared" si="12"/>
        <v>39</v>
      </c>
    </row>
    <row r="24" spans="2:16" x14ac:dyDescent="0.35">
      <c r="B24" s="3" t="s">
        <v>180</v>
      </c>
      <c r="C24" s="19">
        <f t="shared" si="9"/>
        <v>46</v>
      </c>
      <c r="D24" s="19">
        <f t="shared" si="9"/>
        <v>9</v>
      </c>
      <c r="E24" s="19">
        <f t="shared" si="9"/>
        <v>5</v>
      </c>
      <c r="F24" s="19">
        <f t="shared" si="9"/>
        <v>60</v>
      </c>
      <c r="G24" s="19">
        <f t="shared" si="10"/>
        <v>48</v>
      </c>
      <c r="H24" s="19">
        <f t="shared" si="10"/>
        <v>4</v>
      </c>
      <c r="I24" s="19">
        <f t="shared" si="10"/>
        <v>8</v>
      </c>
      <c r="J24" s="19">
        <f t="shared" si="10"/>
        <v>60</v>
      </c>
      <c r="K24" s="19">
        <f t="shared" si="11"/>
        <v>52</v>
      </c>
      <c r="L24" s="19">
        <f t="shared" si="11"/>
        <v>7</v>
      </c>
      <c r="M24" s="19">
        <f t="shared" si="11"/>
        <v>59</v>
      </c>
      <c r="N24" s="19">
        <f t="shared" si="12"/>
        <v>50</v>
      </c>
      <c r="O24" s="19">
        <f t="shared" si="12"/>
        <v>10</v>
      </c>
      <c r="P24" s="19">
        <f t="shared" si="12"/>
        <v>60</v>
      </c>
    </row>
    <row r="26" spans="2:16" x14ac:dyDescent="0.35">
      <c r="B26" s="3" t="s">
        <v>182</v>
      </c>
    </row>
    <row r="27" spans="2:16" x14ac:dyDescent="0.35">
      <c r="C27" s="48" t="s">
        <v>71</v>
      </c>
      <c r="D27" s="48"/>
      <c r="E27" s="45"/>
      <c r="F27" s="45"/>
      <c r="G27" s="48" t="s">
        <v>74</v>
      </c>
      <c r="H27" s="48"/>
      <c r="I27" s="48"/>
      <c r="J27" s="48"/>
      <c r="K27" s="48" t="s">
        <v>178</v>
      </c>
      <c r="L27" s="48"/>
      <c r="M27" s="48"/>
      <c r="N27" s="48" t="s">
        <v>179</v>
      </c>
      <c r="O27" s="48"/>
      <c r="P27" s="48"/>
    </row>
    <row r="28" spans="2:16" x14ac:dyDescent="0.35">
      <c r="C28" s="17" t="s">
        <v>273</v>
      </c>
      <c r="D28" s="17" t="s">
        <v>274</v>
      </c>
      <c r="E28" s="17" t="s">
        <v>275</v>
      </c>
      <c r="F28" s="20"/>
      <c r="G28" s="17" t="s">
        <v>273</v>
      </c>
      <c r="H28" s="17" t="s">
        <v>274</v>
      </c>
      <c r="I28" s="17" t="s">
        <v>275</v>
      </c>
      <c r="J28" s="20"/>
      <c r="K28" s="17" t="s">
        <v>277</v>
      </c>
      <c r="L28" s="17" t="s">
        <v>274</v>
      </c>
      <c r="M28" s="20"/>
      <c r="N28" s="17" t="s">
        <v>273</v>
      </c>
      <c r="O28" s="17" t="s">
        <v>275</v>
      </c>
      <c r="P28" s="20"/>
    </row>
    <row r="29" spans="2:16" x14ac:dyDescent="0.35">
      <c r="B29" s="6" t="s">
        <v>256</v>
      </c>
      <c r="C29" s="29">
        <f t="shared" ref="C29:E30" si="13">(C8-C22)^2/C22</f>
        <v>0.27391304347826123</v>
      </c>
      <c r="D29" s="29">
        <f t="shared" si="13"/>
        <v>2.5785714285714287</v>
      </c>
      <c r="E29" s="29">
        <f t="shared" si="13"/>
        <v>0.32142857142857145</v>
      </c>
      <c r="F29" s="29"/>
      <c r="G29" s="29">
        <f>(G8-G22)^2/G22</f>
        <v>3.8095238095238161E-2</v>
      </c>
      <c r="H29" s="29">
        <f t="shared" ref="H29:I30" si="14">(H8-H22)^2/H22</f>
        <v>0.25714285714285723</v>
      </c>
      <c r="I29" s="29">
        <f t="shared" si="14"/>
        <v>1.4285714285714311E-2</v>
      </c>
      <c r="J29" s="29"/>
      <c r="K29" s="29">
        <f>(K8-K22)^2/K22</f>
        <v>2.2310951760104246E-2</v>
      </c>
      <c r="L29" s="29">
        <f t="shared" ref="L29:L30" si="15">(L8-L22)^2/L22</f>
        <v>0.16573849878934629</v>
      </c>
      <c r="M29" s="29"/>
      <c r="N29" s="29">
        <f>(N8-N22)^2/N22</f>
        <v>0.12857142857142856</v>
      </c>
      <c r="O29" s="29">
        <f t="shared" ref="O29:O30" si="16">(O8-O22)^2/O22</f>
        <v>0.6428571428571429</v>
      </c>
      <c r="P29" s="21"/>
    </row>
    <row r="30" spans="2:16" x14ac:dyDescent="0.35">
      <c r="B30" s="6" t="s">
        <v>257</v>
      </c>
      <c r="C30" s="29">
        <f t="shared" si="13"/>
        <v>0.14749163879598684</v>
      </c>
      <c r="D30" s="29">
        <f t="shared" si="13"/>
        <v>1.3884615384615384</v>
      </c>
      <c r="E30" s="29">
        <f t="shared" si="13"/>
        <v>0.17307692307692307</v>
      </c>
      <c r="F30" s="29"/>
      <c r="G30" s="29">
        <f>(G9-G23)^2/G23</f>
        <v>2.0512820512820551E-2</v>
      </c>
      <c r="H30" s="29">
        <f t="shared" si="14"/>
        <v>0.1384615384615385</v>
      </c>
      <c r="I30" s="29">
        <f t="shared" si="14"/>
        <v>7.6923076923077057E-3</v>
      </c>
      <c r="J30" s="29"/>
      <c r="K30" s="29">
        <f>(K9-K23)^2/K23</f>
        <v>1.1441513723130514E-2</v>
      </c>
      <c r="L30" s="29">
        <f t="shared" si="15"/>
        <v>8.4994101943254505E-2</v>
      </c>
      <c r="M30" s="29"/>
      <c r="N30" s="29">
        <f>(N9-N23)^2/N23</f>
        <v>6.9230769230769235E-2</v>
      </c>
      <c r="O30" s="29">
        <f t="shared" si="16"/>
        <v>0.34615384615384615</v>
      </c>
      <c r="P30" s="21"/>
    </row>
    <row r="31" spans="2:16" x14ac:dyDescent="0.35">
      <c r="B31" s="3"/>
      <c r="C31" s="21"/>
      <c r="D31" s="21"/>
      <c r="E31" s="21"/>
      <c r="F31" s="21"/>
      <c r="G31" s="21"/>
      <c r="H31" s="21"/>
      <c r="I31" s="21"/>
      <c r="J31" s="21"/>
      <c r="K31" s="21"/>
      <c r="L31" s="21"/>
      <c r="M31" s="21"/>
      <c r="N31" s="21"/>
      <c r="O31" s="21"/>
      <c r="P31" s="21"/>
    </row>
    <row r="32" spans="2:16" x14ac:dyDescent="0.35">
      <c r="B32" s="3" t="s">
        <v>185</v>
      </c>
      <c r="C32" s="21"/>
      <c r="D32" s="19">
        <v>2</v>
      </c>
      <c r="E32" s="19"/>
      <c r="F32" s="21"/>
      <c r="G32" s="19">
        <f>D32</f>
        <v>2</v>
      </c>
      <c r="H32" s="21"/>
      <c r="I32" s="21"/>
      <c r="J32" s="21"/>
      <c r="K32" s="19">
        <v>1</v>
      </c>
      <c r="L32" s="21"/>
      <c r="M32" s="21"/>
      <c r="N32" s="19">
        <v>1</v>
      </c>
      <c r="O32" s="21"/>
      <c r="P32" s="21"/>
    </row>
    <row r="33" spans="1:14" x14ac:dyDescent="0.35">
      <c r="B33" s="3" t="s">
        <v>183</v>
      </c>
      <c r="D33" s="13">
        <f>C29+C30+D29+D30+E29+E30</f>
        <v>4.8829431438127102</v>
      </c>
      <c r="E33" s="13"/>
      <c r="F33" s="13"/>
      <c r="G33" s="13">
        <f>G29+H29+G30+H30+I29+I30</f>
        <v>0.4761904761904765</v>
      </c>
      <c r="H33" s="13"/>
      <c r="I33" s="13"/>
      <c r="J33" s="13"/>
      <c r="K33" s="13">
        <f>K29+L29+K30+L30</f>
        <v>0.28448506621583558</v>
      </c>
      <c r="L33" s="13"/>
      <c r="M33" s="13"/>
      <c r="N33" s="13">
        <f>N29+N30+O29+O30</f>
        <v>1.1868131868131868</v>
      </c>
    </row>
    <row r="34" spans="1:14" x14ac:dyDescent="0.35">
      <c r="B34" s="3" t="s">
        <v>184</v>
      </c>
      <c r="D34" s="31">
        <f>_xlfn.CHISQ.DIST.RT(D33,D32)</f>
        <v>8.7032682329812372E-2</v>
      </c>
      <c r="E34" s="32"/>
      <c r="G34" s="24">
        <f>_xlfn.CHISQ.DIST.RT(G33,G32)</f>
        <v>0.78812762774531087</v>
      </c>
      <c r="K34" s="24">
        <f>_xlfn.CHISQ.DIST.RT(K33,K32)</f>
        <v>0.59377650093731837</v>
      </c>
      <c r="N34" s="24">
        <f>_xlfn.CHISQ.DIST.RT(N33,N32)</f>
        <v>0.27597331801373803</v>
      </c>
    </row>
    <row r="36" spans="1:14" x14ac:dyDescent="0.35">
      <c r="A36" s="36">
        <v>1</v>
      </c>
      <c r="B36" s="3" t="s">
        <v>189</v>
      </c>
    </row>
    <row r="37" spans="1:14" x14ac:dyDescent="0.35">
      <c r="C37" s="6" t="s">
        <v>273</v>
      </c>
      <c r="D37" s="6" t="s">
        <v>274</v>
      </c>
      <c r="E37" s="6" t="s">
        <v>180</v>
      </c>
    </row>
    <row r="38" spans="1:14" x14ac:dyDescent="0.35">
      <c r="B38" s="6" t="s">
        <v>256</v>
      </c>
      <c r="C38">
        <f>C8</f>
        <v>14</v>
      </c>
      <c r="D38">
        <f>D8</f>
        <v>6</v>
      </c>
      <c r="E38">
        <f>SUM(C38:D38)</f>
        <v>20</v>
      </c>
    </row>
    <row r="39" spans="1:14" x14ac:dyDescent="0.35">
      <c r="B39" s="6" t="s">
        <v>257</v>
      </c>
      <c r="C39">
        <f>C9</f>
        <v>32</v>
      </c>
      <c r="D39">
        <f>D9</f>
        <v>3</v>
      </c>
      <c r="E39">
        <f>SUM(C39:D39)</f>
        <v>35</v>
      </c>
    </row>
    <row r="40" spans="1:14" x14ac:dyDescent="0.35">
      <c r="B40" t="s">
        <v>180</v>
      </c>
      <c r="C40">
        <f>SUM(C38:C39)</f>
        <v>46</v>
      </c>
      <c r="D40">
        <f t="shared" ref="D40:E40" si="17">SUM(D38:D39)</f>
        <v>9</v>
      </c>
      <c r="E40">
        <f t="shared" si="17"/>
        <v>55</v>
      </c>
    </row>
    <row r="42" spans="1:14" x14ac:dyDescent="0.35">
      <c r="B42" s="3" t="s">
        <v>181</v>
      </c>
    </row>
    <row r="43" spans="1:14" x14ac:dyDescent="0.35">
      <c r="C43" s="6" t="s">
        <v>273</v>
      </c>
      <c r="D43" s="6" t="s">
        <v>274</v>
      </c>
      <c r="E43" s="6" t="s">
        <v>180</v>
      </c>
    </row>
    <row r="44" spans="1:14" x14ac:dyDescent="0.35">
      <c r="B44" s="6" t="s">
        <v>256</v>
      </c>
      <c r="C44" s="2">
        <f>($E38*C$40)/$E$40</f>
        <v>16.727272727272727</v>
      </c>
      <c r="D44" s="2">
        <f t="shared" ref="D44:E44" si="18">($E38*D$40)/$E$40</f>
        <v>3.2727272727272729</v>
      </c>
      <c r="E44" s="2">
        <f t="shared" si="18"/>
        <v>20</v>
      </c>
    </row>
    <row r="45" spans="1:14" x14ac:dyDescent="0.35">
      <c r="B45" s="6" t="s">
        <v>257</v>
      </c>
      <c r="C45" s="2">
        <f t="shared" ref="C45:E46" si="19">($E39*C$40)/$E$40</f>
        <v>29.272727272727273</v>
      </c>
      <c r="D45" s="2">
        <f t="shared" si="19"/>
        <v>5.7272727272727275</v>
      </c>
      <c r="E45" s="2">
        <f t="shared" si="19"/>
        <v>35</v>
      </c>
    </row>
    <row r="46" spans="1:14" x14ac:dyDescent="0.35">
      <c r="B46" t="s">
        <v>180</v>
      </c>
      <c r="C46" s="2">
        <f t="shared" si="19"/>
        <v>46</v>
      </c>
      <c r="D46" s="2">
        <f t="shared" si="19"/>
        <v>9</v>
      </c>
      <c r="E46" s="2">
        <f t="shared" si="19"/>
        <v>55</v>
      </c>
    </row>
    <row r="48" spans="1:14" x14ac:dyDescent="0.35">
      <c r="B48" s="3" t="s">
        <v>182</v>
      </c>
    </row>
    <row r="49" spans="1:5" x14ac:dyDescent="0.35">
      <c r="C49" s="48" t="s">
        <v>71</v>
      </c>
      <c r="D49" s="48"/>
      <c r="E49" s="45"/>
    </row>
    <row r="50" spans="1:5" x14ac:dyDescent="0.35">
      <c r="C50" s="17" t="s">
        <v>273</v>
      </c>
      <c r="D50" s="17" t="s">
        <v>274</v>
      </c>
      <c r="E50" s="17"/>
    </row>
    <row r="51" spans="1:5" x14ac:dyDescent="0.35">
      <c r="B51" s="6" t="s">
        <v>256</v>
      </c>
      <c r="C51" s="29">
        <f>(C38-C44)^2/C44</f>
        <v>0.44466403162055318</v>
      </c>
      <c r="D51" s="29">
        <f>(D38-D44)^2/D44</f>
        <v>2.2727272727272725</v>
      </c>
      <c r="E51" s="29"/>
    </row>
    <row r="52" spans="1:5" x14ac:dyDescent="0.35">
      <c r="B52" s="6" t="s">
        <v>257</v>
      </c>
      <c r="C52" s="29">
        <f>(C39-C45)^2/C45</f>
        <v>0.25409373235460181</v>
      </c>
      <c r="D52" s="29">
        <f>(D39-D45)^2/D45</f>
        <v>1.2987012987012989</v>
      </c>
      <c r="E52" s="29"/>
    </row>
    <row r="54" spans="1:5" x14ac:dyDescent="0.35">
      <c r="B54" s="3" t="s">
        <v>185</v>
      </c>
      <c r="C54" s="21"/>
      <c r="D54" s="19">
        <v>1</v>
      </c>
    </row>
    <row r="55" spans="1:5" x14ac:dyDescent="0.35">
      <c r="B55" s="3" t="s">
        <v>183</v>
      </c>
      <c r="D55" s="13">
        <f>C51+C52+D51+D52</f>
        <v>4.2701863354037259</v>
      </c>
    </row>
    <row r="56" spans="1:5" x14ac:dyDescent="0.35">
      <c r="B56" s="3" t="s">
        <v>184</v>
      </c>
      <c r="D56" s="24">
        <f>_xlfn.CHISQ.DIST.RT(D55,D54)</f>
        <v>3.8786676972265656E-2</v>
      </c>
    </row>
    <row r="58" spans="1:5" x14ac:dyDescent="0.35">
      <c r="A58" s="36">
        <v>2</v>
      </c>
      <c r="B58" s="3" t="s">
        <v>189</v>
      </c>
    </row>
    <row r="59" spans="1:5" x14ac:dyDescent="0.35">
      <c r="C59" s="6" t="s">
        <v>273</v>
      </c>
      <c r="D59" s="6" t="s">
        <v>275</v>
      </c>
      <c r="E59" s="6" t="s">
        <v>180</v>
      </c>
    </row>
    <row r="60" spans="1:5" x14ac:dyDescent="0.35">
      <c r="B60" s="6" t="s">
        <v>256</v>
      </c>
      <c r="C60">
        <f>C8</f>
        <v>14</v>
      </c>
      <c r="D60">
        <f>E8</f>
        <v>1</v>
      </c>
      <c r="E60">
        <f>SUM(C60:D60)</f>
        <v>15</v>
      </c>
    </row>
    <row r="61" spans="1:5" x14ac:dyDescent="0.35">
      <c r="B61" s="6" t="s">
        <v>257</v>
      </c>
      <c r="C61">
        <f>C9</f>
        <v>32</v>
      </c>
      <c r="D61">
        <f t="shared" ref="D61:D62" si="20">E9</f>
        <v>4</v>
      </c>
      <c r="E61">
        <f>SUM(C61:D61)</f>
        <v>36</v>
      </c>
    </row>
    <row r="62" spans="1:5" x14ac:dyDescent="0.35">
      <c r="B62" t="s">
        <v>180</v>
      </c>
      <c r="C62">
        <f>SUM(C60:C61)</f>
        <v>46</v>
      </c>
      <c r="D62">
        <f t="shared" si="20"/>
        <v>5</v>
      </c>
      <c r="E62">
        <f t="shared" ref="E62" si="21">SUM(E60:E61)</f>
        <v>51</v>
      </c>
    </row>
    <row r="64" spans="1:5" x14ac:dyDescent="0.35">
      <c r="B64" s="3" t="s">
        <v>181</v>
      </c>
    </row>
    <row r="65" spans="2:5" x14ac:dyDescent="0.35">
      <c r="C65" s="6" t="s">
        <v>273</v>
      </c>
      <c r="D65" s="6" t="s">
        <v>274</v>
      </c>
      <c r="E65" s="6" t="s">
        <v>180</v>
      </c>
    </row>
    <row r="66" spans="2:5" x14ac:dyDescent="0.35">
      <c r="B66" s="6" t="s">
        <v>256</v>
      </c>
      <c r="C66" s="2">
        <f>($E60*C$62)/$E$62</f>
        <v>13.529411764705882</v>
      </c>
      <c r="D66" s="2">
        <f>($E60*D$62)/$E$62</f>
        <v>1.4705882352941178</v>
      </c>
      <c r="E66" s="2">
        <f t="shared" ref="E66:E67" si="22">($E60*E$40)/$E$40</f>
        <v>15</v>
      </c>
    </row>
    <row r="67" spans="2:5" x14ac:dyDescent="0.35">
      <c r="B67" s="6" t="s">
        <v>257</v>
      </c>
      <c r="C67" s="2">
        <f>($E61*C$62)/$E$62</f>
        <v>32.470588235294116</v>
      </c>
      <c r="D67" s="2">
        <f>($E61*D$62)/$E$62</f>
        <v>3.5294117647058822</v>
      </c>
      <c r="E67" s="2">
        <f t="shared" si="22"/>
        <v>36</v>
      </c>
    </row>
    <row r="68" spans="2:5" x14ac:dyDescent="0.35">
      <c r="B68" t="s">
        <v>180</v>
      </c>
      <c r="C68" s="2">
        <f t="shared" ref="C68:E68" si="23">($E62*C$40)/$E$40</f>
        <v>42.654545454545456</v>
      </c>
      <c r="D68" s="2">
        <f t="shared" si="23"/>
        <v>8.3454545454545457</v>
      </c>
      <c r="E68" s="2">
        <f t="shared" si="23"/>
        <v>51</v>
      </c>
    </row>
    <row r="70" spans="2:5" x14ac:dyDescent="0.35">
      <c r="B70" s="3" t="s">
        <v>182</v>
      </c>
    </row>
    <row r="71" spans="2:5" x14ac:dyDescent="0.35">
      <c r="C71" s="48" t="s">
        <v>71</v>
      </c>
      <c r="D71" s="48"/>
      <c r="E71" s="45"/>
    </row>
    <row r="72" spans="2:5" x14ac:dyDescent="0.35">
      <c r="C72" s="17" t="s">
        <v>273</v>
      </c>
      <c r="D72" s="17" t="s">
        <v>274</v>
      </c>
      <c r="E72" s="17"/>
    </row>
    <row r="73" spans="2:5" x14ac:dyDescent="0.35">
      <c r="B73" s="6" t="s">
        <v>256</v>
      </c>
      <c r="C73" s="29">
        <f>(C60-C66)^2/C66</f>
        <v>1.6368286445012793E-2</v>
      </c>
      <c r="D73" s="29">
        <f>(D60-D66)^2/D66</f>
        <v>0.15058823529411769</v>
      </c>
      <c r="E73" s="29"/>
    </row>
    <row r="74" spans="2:5" x14ac:dyDescent="0.35">
      <c r="B74" s="6" t="s">
        <v>257</v>
      </c>
      <c r="C74" s="29">
        <f>(C61-C67)^2/C67</f>
        <v>6.820119352088613E-3</v>
      </c>
      <c r="D74" s="29">
        <f>(D61-D67)^2/D67</f>
        <v>6.2745098039215713E-2</v>
      </c>
      <c r="E74" s="29"/>
    </row>
    <row r="76" spans="2:5" x14ac:dyDescent="0.35">
      <c r="B76" s="3" t="s">
        <v>185</v>
      </c>
      <c r="C76" s="21"/>
      <c r="D76" s="19">
        <v>1</v>
      </c>
    </row>
    <row r="77" spans="2:5" x14ac:dyDescent="0.35">
      <c r="B77" s="3" t="s">
        <v>183</v>
      </c>
      <c r="D77" s="13">
        <f>C73+C74+D73+D74</f>
        <v>0.23652173913043481</v>
      </c>
    </row>
    <row r="78" spans="2:5" x14ac:dyDescent="0.35">
      <c r="B78" s="3" t="s">
        <v>184</v>
      </c>
      <c r="D78" s="24">
        <f>_xlfn.CHISQ.DIST.RT(D77,D76)</f>
        <v>0.62672966277745501</v>
      </c>
    </row>
  </sheetData>
  <mergeCells count="18">
    <mergeCell ref="C49:D49"/>
    <mergeCell ref="C71:D71"/>
    <mergeCell ref="C20:D20"/>
    <mergeCell ref="G20:J20"/>
    <mergeCell ref="K20:M20"/>
    <mergeCell ref="N20:P20"/>
    <mergeCell ref="C27:D27"/>
    <mergeCell ref="G27:J27"/>
    <mergeCell ref="K27:M27"/>
    <mergeCell ref="N27:P27"/>
    <mergeCell ref="C6:D6"/>
    <mergeCell ref="G6:J6"/>
    <mergeCell ref="K6:M6"/>
    <mergeCell ref="N6:P6"/>
    <mergeCell ref="C13:D13"/>
    <mergeCell ref="G13:J13"/>
    <mergeCell ref="K13:M13"/>
    <mergeCell ref="N13:P13"/>
  </mergeCells>
  <pageMargins left="0.7" right="0.7" top="0.75" bottom="0.75" header="0.3" footer="0.3"/>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34"/>
  <sheetViews>
    <sheetView topLeftCell="B1" workbookViewId="0">
      <selection activeCell="D8" sqref="D8"/>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customWidth="1"/>
  </cols>
  <sheetData>
    <row r="2" spans="2:16" x14ac:dyDescent="0.35">
      <c r="C2" s="22" t="s">
        <v>186</v>
      </c>
    </row>
    <row r="3" spans="2:16" x14ac:dyDescent="0.35">
      <c r="C3" s="22" t="s">
        <v>187</v>
      </c>
    </row>
    <row r="5" spans="2:16" x14ac:dyDescent="0.35">
      <c r="B5" s="3" t="s">
        <v>189</v>
      </c>
    </row>
    <row r="6" spans="2:16" x14ac:dyDescent="0.35">
      <c r="C6" s="48" t="s">
        <v>71</v>
      </c>
      <c r="D6" s="48"/>
      <c r="E6" s="45"/>
      <c r="F6" s="45"/>
      <c r="G6" s="48" t="s">
        <v>74</v>
      </c>
      <c r="H6" s="48"/>
      <c r="I6" s="48"/>
      <c r="J6" s="48"/>
      <c r="K6" s="48" t="s">
        <v>178</v>
      </c>
      <c r="L6" s="48"/>
      <c r="M6" s="48"/>
      <c r="N6" s="48" t="s">
        <v>179</v>
      </c>
      <c r="O6" s="48"/>
      <c r="P6" s="48"/>
    </row>
    <row r="7" spans="2:16"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275</v>
      </c>
      <c r="P7" s="20" t="s">
        <v>180</v>
      </c>
    </row>
    <row r="8" spans="2:16" x14ac:dyDescent="0.35">
      <c r="B8" s="6" t="s">
        <v>266</v>
      </c>
      <c r="C8" s="18">
        <f>COUNTIFS(datasheet_control!V2:V124,0,datasheet_control!AJ2:AJ124,1)</f>
        <v>15</v>
      </c>
      <c r="D8" s="18">
        <f>COUNTIFS(datasheet_control!V2:V124,"&lt;0",datasheet_control!AJ2:AJ124,1)</f>
        <v>2</v>
      </c>
      <c r="E8" s="18">
        <f>COUNTIFS(datasheet_control!V2:V124,"&gt;0",datasheet_control!AJ2:AJ124,1)</f>
        <v>1</v>
      </c>
      <c r="F8" s="18">
        <f>SUM(C8:E8)</f>
        <v>18</v>
      </c>
      <c r="G8" s="18">
        <f>COUNTIFS(datasheet_control!Y2:Y124,0,datasheet_control!AJ2:AJ124,1)</f>
        <v>15</v>
      </c>
      <c r="H8" s="18">
        <f>COUNTIFS(datasheet_control!Y2:Y124,"&lt;0",datasheet_control!AJ2:AJ124,1)</f>
        <v>1</v>
      </c>
      <c r="I8" s="18">
        <f>COUNTIFS(datasheet_control!Y2:Y124,"&gt;0",datasheet_control!AJ2:AJ124,1)</f>
        <v>2</v>
      </c>
      <c r="J8" s="18">
        <f>SUM(G8:I8)</f>
        <v>18</v>
      </c>
      <c r="K8" s="18">
        <f>COUNTIFS(datasheet_control!P2:P124,"&gt;=0",datasheet_control!AJ2:AJ124,1)</f>
        <v>14</v>
      </c>
      <c r="L8" s="18">
        <f>COUNTIFS(datasheet_control!P2:P124,"&lt;0",datasheet_control!AJ2:AJ124,1)</f>
        <v>3</v>
      </c>
      <c r="M8" s="18">
        <f>SUM(K8:L8)</f>
        <v>17</v>
      </c>
      <c r="N8" s="18">
        <f>COUNTIFS(datasheet_control!M2:M124,0,datasheet_control!AJ2:AJ124,1)</f>
        <v>13</v>
      </c>
      <c r="O8" s="18">
        <f>COUNTIFS(datasheet_control!M2:M124,"&gt;0",datasheet_control!AJ2:AJ124,1)</f>
        <v>5</v>
      </c>
      <c r="P8" s="18">
        <f>SUM(N8:O8)</f>
        <v>18</v>
      </c>
    </row>
    <row r="9" spans="2:16" x14ac:dyDescent="0.35">
      <c r="B9" s="6" t="s">
        <v>267</v>
      </c>
      <c r="C9" s="18">
        <f>COUNTIFS(datasheet_control!V2:V124,0,datasheet_control!AJ2:AJ124,0)</f>
        <v>31</v>
      </c>
      <c r="D9" s="18">
        <f>COUNTIFS(datasheet_control!V2:V124,"&lt;0",datasheet_control!AJ2:AJ124,0)</f>
        <v>7</v>
      </c>
      <c r="E9" s="18">
        <f>COUNTIFS(datasheet_control!V2:V124,"&gt;0",datasheet_control!AJ2:AJ124,0)</f>
        <v>4</v>
      </c>
      <c r="F9" s="18">
        <f t="shared" ref="F9" si="0">SUM(C9:E9)</f>
        <v>42</v>
      </c>
      <c r="G9" s="18">
        <f>COUNTIFS(datasheet_control!Y2:Y124,0,datasheet_control!AJ2:AJ124,0)</f>
        <v>33</v>
      </c>
      <c r="H9" s="18">
        <f>COUNTIFS(datasheet_control!Y2:Y124,"&lt;0",datasheet_control!AJ2:AJ124,0)</f>
        <v>3</v>
      </c>
      <c r="I9" s="18">
        <f>COUNTIFS(datasheet_control!Y2:Y124,"&gt;0",datasheet_control!AJ2:AJ124,0)</f>
        <v>6</v>
      </c>
      <c r="J9" s="18">
        <f t="shared" ref="J9" si="1">SUM(G9:I9)</f>
        <v>42</v>
      </c>
      <c r="K9" s="18">
        <f>COUNTIFS(datasheet_control!P2:P124,"&gt;=0",datasheet_control!AJ2:AJ124,0)</f>
        <v>38</v>
      </c>
      <c r="L9" s="18">
        <f>COUNTIFS(datasheet_control!P2:P124,"&lt;0",datasheet_control!AJ2:AJ124,0)</f>
        <v>4</v>
      </c>
      <c r="M9" s="18">
        <f>SUM(K9:L9)</f>
        <v>42</v>
      </c>
      <c r="N9" s="18">
        <f>COUNTIFS(datasheet_control!M2:M124,0,datasheet_control!AJ2:AJ124,0)</f>
        <v>37</v>
      </c>
      <c r="O9" s="18">
        <f>COUNTIFS(datasheet_control!M2:M124,"&gt;0",datasheet_control!AJ2:AJ124,0)</f>
        <v>5</v>
      </c>
      <c r="P9" s="18">
        <f>SUM(N9:O9)</f>
        <v>42</v>
      </c>
    </row>
    <row r="10" spans="2:16" x14ac:dyDescent="0.35">
      <c r="B10" s="3" t="s">
        <v>180</v>
      </c>
      <c r="C10" s="18">
        <f>SUM(C8:C9)</f>
        <v>46</v>
      </c>
      <c r="D10" s="18">
        <f t="shared" ref="D10:F10" si="2">SUM(D8:D9)</f>
        <v>9</v>
      </c>
      <c r="E10" s="18">
        <f t="shared" si="2"/>
        <v>5</v>
      </c>
      <c r="F10" s="18">
        <f t="shared" si="2"/>
        <v>60</v>
      </c>
      <c r="G10" s="22">
        <f>SUM(G8:G9)</f>
        <v>48</v>
      </c>
      <c r="H10" s="22">
        <f t="shared" ref="H10:J10" si="3">SUM(H8:H9)</f>
        <v>4</v>
      </c>
      <c r="I10" s="22">
        <f t="shared" si="3"/>
        <v>8</v>
      </c>
      <c r="J10" s="22">
        <f t="shared" si="3"/>
        <v>60</v>
      </c>
      <c r="K10" s="22">
        <f>SUM(K8:K9)</f>
        <v>52</v>
      </c>
      <c r="L10" s="22">
        <f t="shared" ref="L10:M10" si="4">SUM(L8:L9)</f>
        <v>7</v>
      </c>
      <c r="M10" s="22">
        <f t="shared" si="4"/>
        <v>59</v>
      </c>
      <c r="N10" s="22">
        <f>SUM(N8:N9)</f>
        <v>50</v>
      </c>
      <c r="O10" s="22">
        <f t="shared" ref="O10:P10" si="5">SUM(O8:O9)</f>
        <v>10</v>
      </c>
      <c r="P10" s="22">
        <f t="shared" si="5"/>
        <v>60</v>
      </c>
    </row>
    <row r="12" spans="2:16" x14ac:dyDescent="0.35">
      <c r="B12" s="3" t="s">
        <v>188</v>
      </c>
    </row>
    <row r="13" spans="2:16" x14ac:dyDescent="0.35">
      <c r="C13" s="48" t="s">
        <v>71</v>
      </c>
      <c r="D13" s="48"/>
      <c r="E13" s="45"/>
      <c r="F13" s="45"/>
      <c r="G13" s="48" t="s">
        <v>74</v>
      </c>
      <c r="H13" s="48"/>
      <c r="I13" s="48"/>
      <c r="J13" s="48"/>
      <c r="K13" s="48" t="s">
        <v>178</v>
      </c>
      <c r="L13" s="48"/>
      <c r="M13" s="48"/>
      <c r="N13" s="48" t="s">
        <v>179</v>
      </c>
      <c r="O13" s="48"/>
      <c r="P13" s="48"/>
    </row>
    <row r="14" spans="2:16"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275</v>
      </c>
      <c r="P14" s="20" t="s">
        <v>180</v>
      </c>
    </row>
    <row r="15" spans="2:16" x14ac:dyDescent="0.35">
      <c r="B15" s="6" t="s">
        <v>266</v>
      </c>
      <c r="C15" s="23">
        <f t="shared" ref="C15:F17" si="6">C8/$F8</f>
        <v>0.83333333333333337</v>
      </c>
      <c r="D15" s="23">
        <f t="shared" si="6"/>
        <v>0.1111111111111111</v>
      </c>
      <c r="E15" s="23">
        <f t="shared" si="6"/>
        <v>5.5555555555555552E-2</v>
      </c>
      <c r="F15" s="23">
        <f t="shared" si="6"/>
        <v>1</v>
      </c>
      <c r="G15" s="23">
        <f t="shared" ref="G15:J17" si="7">G8/$J8</f>
        <v>0.83333333333333337</v>
      </c>
      <c r="H15" s="23">
        <f t="shared" si="7"/>
        <v>5.5555555555555552E-2</v>
      </c>
      <c r="I15" s="23">
        <f t="shared" si="7"/>
        <v>0.1111111111111111</v>
      </c>
      <c r="J15" s="23">
        <f t="shared" si="7"/>
        <v>1</v>
      </c>
      <c r="K15" s="23">
        <f t="shared" ref="K15:M17" si="8">K8/$M8</f>
        <v>0.82352941176470584</v>
      </c>
      <c r="L15" s="23">
        <f t="shared" si="8"/>
        <v>0.17647058823529413</v>
      </c>
      <c r="M15" s="23">
        <f t="shared" si="8"/>
        <v>1</v>
      </c>
      <c r="N15" s="23">
        <f t="shared" ref="N15:P17" si="9">N8/$P8</f>
        <v>0.72222222222222221</v>
      </c>
      <c r="O15" s="23">
        <f t="shared" si="9"/>
        <v>0.27777777777777779</v>
      </c>
      <c r="P15" s="23">
        <f t="shared" si="9"/>
        <v>1</v>
      </c>
    </row>
    <row r="16" spans="2:16" x14ac:dyDescent="0.35">
      <c r="B16" s="6" t="s">
        <v>267</v>
      </c>
      <c r="C16" s="23">
        <f t="shared" si="6"/>
        <v>0.73809523809523814</v>
      </c>
      <c r="D16" s="23">
        <f t="shared" si="6"/>
        <v>0.16666666666666666</v>
      </c>
      <c r="E16" s="23">
        <f t="shared" si="6"/>
        <v>9.5238095238095233E-2</v>
      </c>
      <c r="F16" s="23">
        <f t="shared" si="6"/>
        <v>1</v>
      </c>
      <c r="G16" s="23">
        <f t="shared" si="7"/>
        <v>0.7857142857142857</v>
      </c>
      <c r="H16" s="23">
        <f t="shared" si="7"/>
        <v>7.1428571428571425E-2</v>
      </c>
      <c r="I16" s="23">
        <f t="shared" si="7"/>
        <v>0.14285714285714285</v>
      </c>
      <c r="J16" s="23">
        <f t="shared" si="7"/>
        <v>1</v>
      </c>
      <c r="K16" s="23">
        <f t="shared" si="8"/>
        <v>0.90476190476190477</v>
      </c>
      <c r="L16" s="23">
        <f t="shared" si="8"/>
        <v>9.5238095238095233E-2</v>
      </c>
      <c r="M16" s="23">
        <f t="shared" si="8"/>
        <v>1</v>
      </c>
      <c r="N16" s="23">
        <f t="shared" si="9"/>
        <v>0.88095238095238093</v>
      </c>
      <c r="O16" s="23">
        <f t="shared" si="9"/>
        <v>0.11904761904761904</v>
      </c>
      <c r="P16" s="23">
        <f t="shared" si="9"/>
        <v>1</v>
      </c>
    </row>
    <row r="17" spans="2:16" x14ac:dyDescent="0.35">
      <c r="B17" s="3" t="s">
        <v>180</v>
      </c>
      <c r="C17" s="23">
        <f t="shared" si="6"/>
        <v>0.76666666666666672</v>
      </c>
      <c r="D17" s="23">
        <f t="shared" si="6"/>
        <v>0.15</v>
      </c>
      <c r="E17" s="23">
        <f t="shared" si="6"/>
        <v>8.3333333333333329E-2</v>
      </c>
      <c r="F17" s="23">
        <f t="shared" si="6"/>
        <v>1</v>
      </c>
      <c r="G17" s="23">
        <f t="shared" si="7"/>
        <v>0.8</v>
      </c>
      <c r="H17" s="23">
        <f t="shared" si="7"/>
        <v>6.6666666666666666E-2</v>
      </c>
      <c r="I17" s="23">
        <f t="shared" si="7"/>
        <v>0.13333333333333333</v>
      </c>
      <c r="J17" s="23">
        <f t="shared" si="7"/>
        <v>1</v>
      </c>
      <c r="K17" s="23">
        <f t="shared" si="8"/>
        <v>0.88135593220338981</v>
      </c>
      <c r="L17" s="23">
        <f t="shared" si="8"/>
        <v>0.11864406779661017</v>
      </c>
      <c r="M17" s="23">
        <f t="shared" si="8"/>
        <v>1</v>
      </c>
      <c r="N17" s="23">
        <f t="shared" si="9"/>
        <v>0.83333333333333337</v>
      </c>
      <c r="O17" s="23">
        <f t="shared" si="9"/>
        <v>0.16666666666666666</v>
      </c>
      <c r="P17" s="23">
        <f t="shared" si="9"/>
        <v>1</v>
      </c>
    </row>
    <row r="19" spans="2:16" x14ac:dyDescent="0.35">
      <c r="B19" s="3" t="s">
        <v>181</v>
      </c>
    </row>
    <row r="20" spans="2:16" x14ac:dyDescent="0.35">
      <c r="C20" s="48" t="s">
        <v>71</v>
      </c>
      <c r="D20" s="48"/>
      <c r="E20" s="45"/>
      <c r="F20" s="45"/>
      <c r="G20" s="48" t="s">
        <v>74</v>
      </c>
      <c r="H20" s="48"/>
      <c r="I20" s="48"/>
      <c r="J20" s="48"/>
      <c r="K20" s="48" t="s">
        <v>178</v>
      </c>
      <c r="L20" s="48"/>
      <c r="M20" s="48"/>
      <c r="N20" s="48" t="s">
        <v>179</v>
      </c>
      <c r="O20" s="48"/>
      <c r="P20" s="48"/>
    </row>
    <row r="21" spans="2:16"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275</v>
      </c>
      <c r="P21" s="20" t="s">
        <v>180</v>
      </c>
    </row>
    <row r="22" spans="2:16" x14ac:dyDescent="0.35">
      <c r="B22" s="6" t="s">
        <v>266</v>
      </c>
      <c r="C22" s="19">
        <f t="shared" ref="C22:F24" si="10">($F8*C$10)/$F$10</f>
        <v>13.8</v>
      </c>
      <c r="D22" s="19">
        <f t="shared" si="10"/>
        <v>2.7</v>
      </c>
      <c r="E22" s="19">
        <f t="shared" si="10"/>
        <v>1.5</v>
      </c>
      <c r="F22" s="19">
        <f t="shared" si="10"/>
        <v>18</v>
      </c>
      <c r="G22" s="19">
        <f t="shared" ref="G22:M24" si="11">($J8*G$10)/$J$10</f>
        <v>14.4</v>
      </c>
      <c r="H22" s="19">
        <f t="shared" si="11"/>
        <v>1.2</v>
      </c>
      <c r="I22" s="19">
        <f t="shared" si="11"/>
        <v>2.4</v>
      </c>
      <c r="J22" s="19">
        <f t="shared" si="11"/>
        <v>18</v>
      </c>
      <c r="K22" s="19">
        <f t="shared" si="11"/>
        <v>15.6</v>
      </c>
      <c r="L22" s="19">
        <f t="shared" si="11"/>
        <v>2.1</v>
      </c>
      <c r="M22" s="19">
        <f t="shared" si="11"/>
        <v>17.7</v>
      </c>
      <c r="N22" s="19">
        <f t="shared" ref="N22:P24" si="12">($P8*N$10)/$P$10</f>
        <v>15</v>
      </c>
      <c r="O22" s="19">
        <f t="shared" si="12"/>
        <v>3</v>
      </c>
      <c r="P22" s="19">
        <f t="shared" si="12"/>
        <v>18</v>
      </c>
    </row>
    <row r="23" spans="2:16" x14ac:dyDescent="0.35">
      <c r="B23" s="6" t="s">
        <v>267</v>
      </c>
      <c r="C23" s="19">
        <f t="shared" si="10"/>
        <v>32.200000000000003</v>
      </c>
      <c r="D23" s="19">
        <f t="shared" si="10"/>
        <v>6.3</v>
      </c>
      <c r="E23" s="19">
        <f t="shared" si="10"/>
        <v>3.5</v>
      </c>
      <c r="F23" s="19">
        <f t="shared" si="10"/>
        <v>42</v>
      </c>
      <c r="G23" s="19">
        <f t="shared" si="11"/>
        <v>33.6</v>
      </c>
      <c r="H23" s="19">
        <f t="shared" si="11"/>
        <v>2.8</v>
      </c>
      <c r="I23" s="19">
        <f t="shared" si="11"/>
        <v>5.6</v>
      </c>
      <c r="J23" s="19">
        <f t="shared" si="11"/>
        <v>42</v>
      </c>
      <c r="K23" s="19">
        <f t="shared" si="11"/>
        <v>36.4</v>
      </c>
      <c r="L23" s="19">
        <f t="shared" si="11"/>
        <v>4.9000000000000004</v>
      </c>
      <c r="M23" s="19">
        <f t="shared" si="11"/>
        <v>41.3</v>
      </c>
      <c r="N23" s="19">
        <f t="shared" si="12"/>
        <v>35</v>
      </c>
      <c r="O23" s="19">
        <f t="shared" si="12"/>
        <v>7</v>
      </c>
      <c r="P23" s="19">
        <f t="shared" si="12"/>
        <v>42</v>
      </c>
    </row>
    <row r="24" spans="2:16" x14ac:dyDescent="0.35">
      <c r="B24" s="3" t="s">
        <v>180</v>
      </c>
      <c r="C24" s="19">
        <f t="shared" si="10"/>
        <v>46</v>
      </c>
      <c r="D24" s="19">
        <f t="shared" si="10"/>
        <v>9</v>
      </c>
      <c r="E24" s="19">
        <f t="shared" si="10"/>
        <v>5</v>
      </c>
      <c r="F24" s="19">
        <f t="shared" si="10"/>
        <v>60</v>
      </c>
      <c r="G24" s="19">
        <f t="shared" si="11"/>
        <v>48</v>
      </c>
      <c r="H24" s="19">
        <f t="shared" si="11"/>
        <v>4</v>
      </c>
      <c r="I24" s="19">
        <f t="shared" si="11"/>
        <v>8</v>
      </c>
      <c r="J24" s="19">
        <f t="shared" si="11"/>
        <v>60</v>
      </c>
      <c r="K24" s="19">
        <f t="shared" si="11"/>
        <v>52</v>
      </c>
      <c r="L24" s="19">
        <f t="shared" si="11"/>
        <v>7</v>
      </c>
      <c r="M24" s="19">
        <f t="shared" si="11"/>
        <v>59</v>
      </c>
      <c r="N24" s="19">
        <f t="shared" si="12"/>
        <v>50</v>
      </c>
      <c r="O24" s="19">
        <f t="shared" si="12"/>
        <v>10</v>
      </c>
      <c r="P24" s="19">
        <f t="shared" si="12"/>
        <v>60</v>
      </c>
    </row>
    <row r="26" spans="2:16" x14ac:dyDescent="0.35">
      <c r="B26" s="3" t="s">
        <v>182</v>
      </c>
    </row>
    <row r="27" spans="2:16" x14ac:dyDescent="0.35">
      <c r="C27" s="48" t="s">
        <v>71</v>
      </c>
      <c r="D27" s="48"/>
      <c r="E27" s="45"/>
      <c r="F27" s="45"/>
      <c r="G27" s="48" t="s">
        <v>74</v>
      </c>
      <c r="H27" s="48"/>
      <c r="I27" s="48"/>
      <c r="J27" s="48"/>
      <c r="K27" s="48" t="s">
        <v>178</v>
      </c>
      <c r="L27" s="48"/>
      <c r="M27" s="48"/>
      <c r="N27" s="48" t="s">
        <v>179</v>
      </c>
      <c r="O27" s="48"/>
      <c r="P27" s="48"/>
    </row>
    <row r="28" spans="2:16" x14ac:dyDescent="0.35">
      <c r="C28" s="17" t="s">
        <v>273</v>
      </c>
      <c r="D28" s="17" t="s">
        <v>274</v>
      </c>
      <c r="E28" s="17" t="s">
        <v>275</v>
      </c>
      <c r="F28" s="20"/>
      <c r="G28" s="17" t="s">
        <v>273</v>
      </c>
      <c r="H28" s="17" t="s">
        <v>274</v>
      </c>
      <c r="I28" s="17" t="s">
        <v>275</v>
      </c>
      <c r="J28" s="20"/>
      <c r="K28" s="17" t="s">
        <v>277</v>
      </c>
      <c r="L28" s="17" t="s">
        <v>274</v>
      </c>
      <c r="M28" s="20"/>
      <c r="N28" s="17" t="s">
        <v>273</v>
      </c>
      <c r="O28" s="17" t="s">
        <v>275</v>
      </c>
      <c r="P28" s="20"/>
    </row>
    <row r="29" spans="2:16" x14ac:dyDescent="0.35">
      <c r="B29" s="6" t="s">
        <v>266</v>
      </c>
      <c r="C29" s="29">
        <f t="shared" ref="C29:E30" si="13">(C8-C22)^2/C22</f>
        <v>0.10434782608695641</v>
      </c>
      <c r="D29" s="29">
        <f t="shared" si="13"/>
        <v>0.18148148148148158</v>
      </c>
      <c r="E29" s="29">
        <f t="shared" si="13"/>
        <v>0.16666666666666666</v>
      </c>
      <c r="F29" s="29"/>
      <c r="G29" s="29">
        <f>(G8-G22)^2/G22</f>
        <v>2.499999999999997E-2</v>
      </c>
      <c r="H29" s="29">
        <f t="shared" ref="H29:I30" si="14">(H8-H22)^2/H22</f>
        <v>3.3333333333333319E-2</v>
      </c>
      <c r="I29" s="29">
        <f t="shared" si="14"/>
        <v>6.6666666666666638E-2</v>
      </c>
      <c r="J29" s="29"/>
      <c r="K29" s="29">
        <f>(K8-K22)^2/K22</f>
        <v>0.16410256410256402</v>
      </c>
      <c r="L29" s="29">
        <f t="shared" ref="L29:L30" si="15">(L8-L22)^2/L22</f>
        <v>0.38571428571428562</v>
      </c>
      <c r="M29" s="29"/>
      <c r="N29" s="29">
        <f>(N8-N22)^2/N22</f>
        <v>0.26666666666666666</v>
      </c>
      <c r="O29" s="29">
        <f t="shared" ref="O29:O30" si="16">(O8-O22)^2/O22</f>
        <v>1.3333333333333333</v>
      </c>
      <c r="P29" s="21"/>
    </row>
    <row r="30" spans="2:16" x14ac:dyDescent="0.35">
      <c r="B30" s="6" t="s">
        <v>267</v>
      </c>
      <c r="C30" s="29">
        <f t="shared" si="13"/>
        <v>4.4720496894410149E-2</v>
      </c>
      <c r="D30" s="29">
        <f t="shared" si="13"/>
        <v>7.7777777777777821E-2</v>
      </c>
      <c r="E30" s="29">
        <f t="shared" si="13"/>
        <v>7.1428571428571425E-2</v>
      </c>
      <c r="F30" s="29"/>
      <c r="G30" s="29">
        <f>(G9-G23)^2/G23</f>
        <v>1.0714285714285765E-2</v>
      </c>
      <c r="H30" s="29">
        <f t="shared" si="14"/>
        <v>1.4285714285714311E-2</v>
      </c>
      <c r="I30" s="29">
        <f t="shared" si="14"/>
        <v>2.8571428571428623E-2</v>
      </c>
      <c r="J30" s="29"/>
      <c r="K30" s="29">
        <f>(K9-K23)^2/K23</f>
        <v>7.0329670329670455E-2</v>
      </c>
      <c r="L30" s="29">
        <f t="shared" si="15"/>
        <v>0.16530612244897971</v>
      </c>
      <c r="M30" s="29"/>
      <c r="N30" s="29">
        <f>(N9-N23)^2/N23</f>
        <v>0.11428571428571428</v>
      </c>
      <c r="O30" s="29">
        <f t="shared" si="16"/>
        <v>0.5714285714285714</v>
      </c>
      <c r="P30" s="21"/>
    </row>
    <row r="31" spans="2:16" x14ac:dyDescent="0.35">
      <c r="B31" s="3"/>
      <c r="C31" s="21"/>
      <c r="D31" s="21"/>
      <c r="E31" s="21"/>
      <c r="F31" s="21"/>
      <c r="G31" s="21"/>
      <c r="H31" s="21"/>
      <c r="I31" s="21"/>
      <c r="J31" s="21"/>
      <c r="K31" s="21"/>
      <c r="L31" s="21"/>
      <c r="M31" s="21"/>
      <c r="N31" s="21"/>
      <c r="O31" s="21"/>
      <c r="P31" s="21"/>
    </row>
    <row r="32" spans="2:16" x14ac:dyDescent="0.35">
      <c r="B32" s="3" t="s">
        <v>185</v>
      </c>
      <c r="C32" s="21"/>
      <c r="D32" s="19">
        <v>2</v>
      </c>
      <c r="E32" s="19"/>
      <c r="F32" s="21"/>
      <c r="G32" s="19">
        <f>D32</f>
        <v>2</v>
      </c>
      <c r="H32" s="21"/>
      <c r="I32" s="21"/>
      <c r="J32" s="21"/>
      <c r="K32" s="19">
        <v>1</v>
      </c>
      <c r="L32" s="21"/>
      <c r="M32" s="21"/>
      <c r="N32" s="19">
        <v>1</v>
      </c>
      <c r="O32" s="21"/>
      <c r="P32" s="21"/>
    </row>
    <row r="33" spans="2:14" x14ac:dyDescent="0.35">
      <c r="B33" s="3" t="s">
        <v>183</v>
      </c>
      <c r="D33" s="13">
        <f>C29+C30+D29+D30+E29+E30</f>
        <v>0.64642282033586396</v>
      </c>
      <c r="E33" s="13"/>
      <c r="F33" s="13"/>
      <c r="G33" s="13">
        <f>G29+H29+G30+H30+I29+I30</f>
        <v>0.17857142857142866</v>
      </c>
      <c r="H33" s="13"/>
      <c r="I33" s="13"/>
      <c r="J33" s="13"/>
      <c r="K33" s="13">
        <f>K29+L29+K30+L30</f>
        <v>0.78545264259549974</v>
      </c>
      <c r="L33" s="13"/>
      <c r="M33" s="13"/>
      <c r="N33" s="13">
        <f>N29+N30+O29+O30</f>
        <v>2.2857142857142856</v>
      </c>
    </row>
    <row r="34" spans="2:14" x14ac:dyDescent="0.35">
      <c r="B34" s="3" t="s">
        <v>184</v>
      </c>
      <c r="D34" s="24">
        <f>_xlfn.CHISQ.DIST.RT(D33,D32)</f>
        <v>0.72382081511138252</v>
      </c>
      <c r="E34" s="32"/>
      <c r="G34" s="24">
        <f>_xlfn.CHISQ.DIST.RT(G33,G32)</f>
        <v>0.91458422646193893</v>
      </c>
      <c r="K34" s="24">
        <f>_xlfn.CHISQ.DIST.RT(K33,K32)</f>
        <v>0.37547869816273077</v>
      </c>
      <c r="N34" s="24">
        <f>_xlfn.CHISQ.DIST.RT(N33,N32)</f>
        <v>0.13057001811573618</v>
      </c>
    </row>
  </sheetData>
  <mergeCells count="16">
    <mergeCell ref="C20:D20"/>
    <mergeCell ref="G20:J20"/>
    <mergeCell ref="K20:M20"/>
    <mergeCell ref="N20:P20"/>
    <mergeCell ref="C27:D27"/>
    <mergeCell ref="G27:J27"/>
    <mergeCell ref="K27:M27"/>
    <mergeCell ref="N27:P27"/>
    <mergeCell ref="C6:D6"/>
    <mergeCell ref="G6:J6"/>
    <mergeCell ref="K6:M6"/>
    <mergeCell ref="N6:P6"/>
    <mergeCell ref="C13:D13"/>
    <mergeCell ref="G13:J13"/>
    <mergeCell ref="K13:M13"/>
    <mergeCell ref="N13:P13"/>
  </mergeCells>
  <pageMargins left="0.7" right="0.7" top="0.75" bottom="0.75" header="0.3" footer="0.3"/>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34"/>
  <sheetViews>
    <sheetView workbookViewId="0">
      <selection activeCell="C8" sqref="C8"/>
    </sheetView>
  </sheetViews>
  <sheetFormatPr defaultRowHeight="14.5" x14ac:dyDescent="0.35"/>
  <cols>
    <col min="2" max="2" width="11.36328125" customWidth="1"/>
    <col min="4" max="4" width="12.26953125" bestFit="1" customWidth="1"/>
    <col min="5" max="5" width="12.26953125" customWidth="1"/>
    <col min="7" max="7" width="11.1796875" customWidth="1"/>
    <col min="8" max="8" width="12.26953125" bestFit="1" customWidth="1"/>
    <col min="9" max="9" width="12.26953125" customWidth="1"/>
    <col min="11" max="11" width="17.1796875" bestFit="1" customWidth="1"/>
    <col min="12" max="12" width="12.26953125" bestFit="1" customWidth="1"/>
    <col min="14" max="14" width="10.7265625" customWidth="1"/>
    <col min="15" max="15" width="12.26953125" customWidth="1"/>
  </cols>
  <sheetData>
    <row r="2" spans="2:16" x14ac:dyDescent="0.35">
      <c r="C2" s="22" t="s">
        <v>186</v>
      </c>
    </row>
    <row r="3" spans="2:16" x14ac:dyDescent="0.35">
      <c r="C3" s="22" t="s">
        <v>187</v>
      </c>
    </row>
    <row r="5" spans="2:16" x14ac:dyDescent="0.35">
      <c r="B5" s="3" t="s">
        <v>189</v>
      </c>
    </row>
    <row r="6" spans="2:16" x14ac:dyDescent="0.35">
      <c r="C6" s="48" t="s">
        <v>71</v>
      </c>
      <c r="D6" s="48"/>
      <c r="E6" s="45"/>
      <c r="F6" s="45"/>
      <c r="G6" s="48" t="s">
        <v>74</v>
      </c>
      <c r="H6" s="48"/>
      <c r="I6" s="48"/>
      <c r="J6" s="48"/>
      <c r="K6" s="48" t="s">
        <v>178</v>
      </c>
      <c r="L6" s="48"/>
      <c r="M6" s="48"/>
      <c r="N6" s="48" t="s">
        <v>179</v>
      </c>
      <c r="O6" s="48"/>
      <c r="P6" s="48"/>
    </row>
    <row r="7" spans="2:16"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275</v>
      </c>
      <c r="P7" s="20" t="s">
        <v>180</v>
      </c>
    </row>
    <row r="8" spans="2:16" x14ac:dyDescent="0.35">
      <c r="B8" s="6" t="s">
        <v>262</v>
      </c>
      <c r="C8" s="18">
        <f>COUNTIFS(datasheet_control!V2:V124,0,datasheet_control!AI2:AI124,1)</f>
        <v>5</v>
      </c>
      <c r="D8" s="18">
        <f>COUNTIFS(datasheet_control!V2:V124,"&lt;0",datasheet_control!AI2:AI124,1)</f>
        <v>1</v>
      </c>
      <c r="E8" s="18">
        <f>COUNTIFS(datasheet_control!V2:V124,"&gt;0",datasheet_control!AI2:AI124,1)</f>
        <v>0</v>
      </c>
      <c r="F8" s="18">
        <f>SUM(C8:E8)</f>
        <v>6</v>
      </c>
      <c r="G8" s="18">
        <f>COUNTIFS(datasheet_control!Y2:Y124,0,datasheet_control!AI2:AI124,1)</f>
        <v>5</v>
      </c>
      <c r="H8" s="18">
        <f>COUNTIFS(datasheet_control!Y2:Y124,"&lt;0",datasheet_control!AI2:AI124,1)</f>
        <v>0</v>
      </c>
      <c r="I8" s="18">
        <f>COUNTIFS(datasheet_control!Y2:Y124,"&gt;0",datasheet_control!AI2:AI124,1)</f>
        <v>1</v>
      </c>
      <c r="J8" s="18">
        <f>SUM(G8:I8)</f>
        <v>6</v>
      </c>
      <c r="K8" s="18">
        <f>COUNTIFS(datasheet_control!P2:P124,"&gt;=0",datasheet_control!AI2:AI124,1)</f>
        <v>5</v>
      </c>
      <c r="L8" s="18">
        <f>COUNTIFS(datasheet_control!P2:P124,"&lt;0",datasheet_control!AI2:AI124,1)</f>
        <v>1</v>
      </c>
      <c r="M8" s="18">
        <f>SUM(K8:L8)</f>
        <v>6</v>
      </c>
      <c r="N8" s="18">
        <f>COUNTIFS(datasheet_control!M2:M124,0,datasheet_control!AI2:AI124,1)</f>
        <v>3</v>
      </c>
      <c r="O8" s="18">
        <f>COUNTIFS(datasheet_control!M2:M124,"&gt;0",datasheet_control!AI2:AI124,1)</f>
        <v>3</v>
      </c>
      <c r="P8" s="18">
        <f>SUM(N8:O8)</f>
        <v>6</v>
      </c>
    </row>
    <row r="9" spans="2:16" x14ac:dyDescent="0.35">
      <c r="B9" s="6" t="s">
        <v>263</v>
      </c>
      <c r="C9" s="18">
        <f>COUNTIFS(datasheet_control!V2:V124,0,datasheet_control!AI2:AI124,0)</f>
        <v>41</v>
      </c>
      <c r="D9" s="18">
        <f>COUNTIFS(datasheet_control!V2:V124,"&lt;0",datasheet_control!AI2:AI124,0)</f>
        <v>8</v>
      </c>
      <c r="E9" s="18">
        <f>COUNTIFS(datasheet_control!V2:V124,"&gt;0",datasheet_control!AI2:AI124,0)</f>
        <v>5</v>
      </c>
      <c r="F9" s="18">
        <f t="shared" ref="F9" si="0">SUM(C9:E9)</f>
        <v>54</v>
      </c>
      <c r="G9" s="18">
        <f>COUNTIFS(datasheet_control!Y2:Y124,0,datasheet_control!AI2:AI124,0)</f>
        <v>43</v>
      </c>
      <c r="H9" s="18">
        <f>COUNTIFS(datasheet_control!Y2:Y124,"&lt;0",datasheet_control!AI2:AI124,0)</f>
        <v>4</v>
      </c>
      <c r="I9" s="18">
        <f>COUNTIFS(datasheet_control!Y2:Y124,"&gt;0",datasheet_control!AI2:AI124,0)</f>
        <v>7</v>
      </c>
      <c r="J9" s="18">
        <f t="shared" ref="J9" si="1">SUM(G9:I9)</f>
        <v>54</v>
      </c>
      <c r="K9" s="18">
        <f>COUNTIFS(datasheet_control!P2:P124,"&gt;=0",datasheet_control!AI2:AI124,0)</f>
        <v>47</v>
      </c>
      <c r="L9" s="18">
        <f>COUNTIFS(datasheet_control!P2:P124,"&lt;0",datasheet_control!AI2:AI124,0)</f>
        <v>6</v>
      </c>
      <c r="M9" s="18">
        <f>SUM(K9:L9)</f>
        <v>53</v>
      </c>
      <c r="N9" s="18">
        <f>COUNTIFS(datasheet_control!M2:M124,0,datasheet_control!AI2:AI124,0)</f>
        <v>47</v>
      </c>
      <c r="O9" s="18">
        <f>COUNTIFS(datasheet_control!M2:M124,"&gt;0",datasheet_control!AI2:AI124,0)</f>
        <v>7</v>
      </c>
      <c r="P9" s="18">
        <f>SUM(N9:O9)</f>
        <v>54</v>
      </c>
    </row>
    <row r="10" spans="2:16" x14ac:dyDescent="0.35">
      <c r="B10" s="3" t="s">
        <v>180</v>
      </c>
      <c r="C10" s="18">
        <f>SUM(C8:C9)</f>
        <v>46</v>
      </c>
      <c r="D10" s="18">
        <f t="shared" ref="D10:F10" si="2">SUM(D8:D9)</f>
        <v>9</v>
      </c>
      <c r="E10" s="18">
        <f t="shared" si="2"/>
        <v>5</v>
      </c>
      <c r="F10" s="18">
        <f t="shared" si="2"/>
        <v>60</v>
      </c>
      <c r="G10" s="22">
        <f>SUM(G8:G9)</f>
        <v>48</v>
      </c>
      <c r="H10" s="22">
        <f t="shared" ref="H10:J10" si="3">SUM(H8:H9)</f>
        <v>4</v>
      </c>
      <c r="I10" s="22">
        <f t="shared" si="3"/>
        <v>8</v>
      </c>
      <c r="J10" s="22">
        <f t="shared" si="3"/>
        <v>60</v>
      </c>
      <c r="K10" s="22">
        <f>SUM(K8:K9)</f>
        <v>52</v>
      </c>
      <c r="L10" s="22">
        <f t="shared" ref="L10:M10" si="4">SUM(L8:L9)</f>
        <v>7</v>
      </c>
      <c r="M10" s="22">
        <f t="shared" si="4"/>
        <v>59</v>
      </c>
      <c r="N10" s="22">
        <f>SUM(N8:N9)</f>
        <v>50</v>
      </c>
      <c r="O10" s="22">
        <f t="shared" ref="O10:P10" si="5">SUM(O8:O9)</f>
        <v>10</v>
      </c>
      <c r="P10" s="22">
        <f t="shared" si="5"/>
        <v>60</v>
      </c>
    </row>
    <row r="12" spans="2:16" x14ac:dyDescent="0.35">
      <c r="B12" s="3" t="s">
        <v>188</v>
      </c>
    </row>
    <row r="13" spans="2:16" x14ac:dyDescent="0.35">
      <c r="C13" s="48" t="s">
        <v>71</v>
      </c>
      <c r="D13" s="48"/>
      <c r="E13" s="45"/>
      <c r="F13" s="45"/>
      <c r="G13" s="48" t="s">
        <v>74</v>
      </c>
      <c r="H13" s="48"/>
      <c r="I13" s="48"/>
      <c r="J13" s="48"/>
      <c r="K13" s="48" t="s">
        <v>178</v>
      </c>
      <c r="L13" s="48"/>
      <c r="M13" s="48"/>
      <c r="N13" s="48" t="s">
        <v>179</v>
      </c>
      <c r="O13" s="48"/>
      <c r="P13" s="48"/>
    </row>
    <row r="14" spans="2:16"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275</v>
      </c>
      <c r="P14" s="20" t="s">
        <v>180</v>
      </c>
    </row>
    <row r="15" spans="2:16" x14ac:dyDescent="0.35">
      <c r="B15" s="6" t="s">
        <v>262</v>
      </c>
      <c r="C15" s="23">
        <f t="shared" ref="C15:F17" si="6">C8/$F8</f>
        <v>0.83333333333333337</v>
      </c>
      <c r="D15" s="23">
        <f t="shared" si="6"/>
        <v>0.16666666666666666</v>
      </c>
      <c r="E15" s="23">
        <f t="shared" si="6"/>
        <v>0</v>
      </c>
      <c r="F15" s="23">
        <f t="shared" si="6"/>
        <v>1</v>
      </c>
      <c r="G15" s="23">
        <f t="shared" ref="G15:J17" si="7">G8/$J8</f>
        <v>0.83333333333333337</v>
      </c>
      <c r="H15" s="23">
        <f t="shared" si="7"/>
        <v>0</v>
      </c>
      <c r="I15" s="23">
        <f t="shared" si="7"/>
        <v>0.16666666666666666</v>
      </c>
      <c r="J15" s="23">
        <f t="shared" si="7"/>
        <v>1</v>
      </c>
      <c r="K15" s="23">
        <f t="shared" ref="K15:M17" si="8">K8/$M8</f>
        <v>0.83333333333333337</v>
      </c>
      <c r="L15" s="23">
        <f t="shared" si="8"/>
        <v>0.16666666666666666</v>
      </c>
      <c r="M15" s="23">
        <f t="shared" si="8"/>
        <v>1</v>
      </c>
      <c r="N15" s="23">
        <f t="shared" ref="N15:P17" si="9">N8/$P8</f>
        <v>0.5</v>
      </c>
      <c r="O15" s="23">
        <f t="shared" si="9"/>
        <v>0.5</v>
      </c>
      <c r="P15" s="23">
        <f t="shared" si="9"/>
        <v>1</v>
      </c>
    </row>
    <row r="16" spans="2:16" x14ac:dyDescent="0.35">
      <c r="B16" s="6" t="s">
        <v>263</v>
      </c>
      <c r="C16" s="23">
        <f t="shared" si="6"/>
        <v>0.7592592592592593</v>
      </c>
      <c r="D16" s="23">
        <f t="shared" si="6"/>
        <v>0.14814814814814814</v>
      </c>
      <c r="E16" s="23">
        <f t="shared" si="6"/>
        <v>9.2592592592592587E-2</v>
      </c>
      <c r="F16" s="23">
        <f t="shared" si="6"/>
        <v>1</v>
      </c>
      <c r="G16" s="23">
        <f t="shared" si="7"/>
        <v>0.79629629629629628</v>
      </c>
      <c r="H16" s="23">
        <f t="shared" si="7"/>
        <v>7.407407407407407E-2</v>
      </c>
      <c r="I16" s="23">
        <f t="shared" si="7"/>
        <v>0.12962962962962962</v>
      </c>
      <c r="J16" s="23">
        <f t="shared" si="7"/>
        <v>1</v>
      </c>
      <c r="K16" s="23">
        <f t="shared" si="8"/>
        <v>0.8867924528301887</v>
      </c>
      <c r="L16" s="23">
        <f t="shared" si="8"/>
        <v>0.11320754716981132</v>
      </c>
      <c r="M16" s="23">
        <f t="shared" si="8"/>
        <v>1</v>
      </c>
      <c r="N16" s="23">
        <f t="shared" si="9"/>
        <v>0.87037037037037035</v>
      </c>
      <c r="O16" s="23">
        <f t="shared" si="9"/>
        <v>0.12962962962962962</v>
      </c>
      <c r="P16" s="23">
        <f t="shared" si="9"/>
        <v>1</v>
      </c>
    </row>
    <row r="17" spans="2:16" x14ac:dyDescent="0.35">
      <c r="B17" s="3" t="s">
        <v>180</v>
      </c>
      <c r="C17" s="23">
        <f t="shared" si="6"/>
        <v>0.76666666666666672</v>
      </c>
      <c r="D17" s="23">
        <f t="shared" si="6"/>
        <v>0.15</v>
      </c>
      <c r="E17" s="23">
        <f t="shared" si="6"/>
        <v>8.3333333333333329E-2</v>
      </c>
      <c r="F17" s="23">
        <f t="shared" si="6"/>
        <v>1</v>
      </c>
      <c r="G17" s="23">
        <f t="shared" si="7"/>
        <v>0.8</v>
      </c>
      <c r="H17" s="23">
        <f t="shared" si="7"/>
        <v>6.6666666666666666E-2</v>
      </c>
      <c r="I17" s="23">
        <f t="shared" si="7"/>
        <v>0.13333333333333333</v>
      </c>
      <c r="J17" s="23">
        <f t="shared" si="7"/>
        <v>1</v>
      </c>
      <c r="K17" s="23">
        <f t="shared" si="8"/>
        <v>0.88135593220338981</v>
      </c>
      <c r="L17" s="23">
        <f t="shared" si="8"/>
        <v>0.11864406779661017</v>
      </c>
      <c r="M17" s="23">
        <f t="shared" si="8"/>
        <v>1</v>
      </c>
      <c r="N17" s="23">
        <f t="shared" si="9"/>
        <v>0.83333333333333337</v>
      </c>
      <c r="O17" s="23">
        <f t="shared" si="9"/>
        <v>0.16666666666666666</v>
      </c>
      <c r="P17" s="23">
        <f t="shared" si="9"/>
        <v>1</v>
      </c>
    </row>
    <row r="19" spans="2:16" x14ac:dyDescent="0.35">
      <c r="B19" s="3" t="s">
        <v>181</v>
      </c>
    </row>
    <row r="20" spans="2:16" x14ac:dyDescent="0.35">
      <c r="C20" s="48" t="s">
        <v>71</v>
      </c>
      <c r="D20" s="48"/>
      <c r="E20" s="45"/>
      <c r="F20" s="45"/>
      <c r="G20" s="48" t="s">
        <v>74</v>
      </c>
      <c r="H20" s="48"/>
      <c r="I20" s="48"/>
      <c r="J20" s="48"/>
      <c r="K20" s="48" t="s">
        <v>178</v>
      </c>
      <c r="L20" s="48"/>
      <c r="M20" s="48"/>
      <c r="N20" s="48" t="s">
        <v>179</v>
      </c>
      <c r="O20" s="48"/>
      <c r="P20" s="48"/>
    </row>
    <row r="21" spans="2:16"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275</v>
      </c>
      <c r="P21" s="20" t="s">
        <v>180</v>
      </c>
    </row>
    <row r="22" spans="2:16" x14ac:dyDescent="0.35">
      <c r="B22" s="6" t="s">
        <v>262</v>
      </c>
      <c r="C22" s="19">
        <f t="shared" ref="C22:F24" si="10">($F8*C$10)/$F$10</f>
        <v>4.5999999999999996</v>
      </c>
      <c r="D22" s="19">
        <f t="shared" si="10"/>
        <v>0.9</v>
      </c>
      <c r="E22" s="19">
        <f t="shared" si="10"/>
        <v>0.5</v>
      </c>
      <c r="F22" s="19">
        <f t="shared" si="10"/>
        <v>6</v>
      </c>
      <c r="G22" s="19">
        <f t="shared" ref="G22:J24" si="11">($J8*G$10)/$J$10</f>
        <v>4.8</v>
      </c>
      <c r="H22" s="19">
        <f t="shared" si="11"/>
        <v>0.4</v>
      </c>
      <c r="I22" s="19">
        <f t="shared" si="11"/>
        <v>0.8</v>
      </c>
      <c r="J22" s="19">
        <f t="shared" si="11"/>
        <v>6</v>
      </c>
      <c r="K22" s="19">
        <f t="shared" ref="K22:M24" si="12">($M8*K$10)/$M$10</f>
        <v>5.2881355932203391</v>
      </c>
      <c r="L22" s="19">
        <f t="shared" si="12"/>
        <v>0.71186440677966101</v>
      </c>
      <c r="M22" s="19">
        <f t="shared" si="12"/>
        <v>6</v>
      </c>
      <c r="N22" s="19">
        <f t="shared" ref="N22:P24" si="13">($P8*N$10)/$P$10</f>
        <v>5</v>
      </c>
      <c r="O22" s="19">
        <f t="shared" si="13"/>
        <v>1</v>
      </c>
      <c r="P22" s="19">
        <f t="shared" si="13"/>
        <v>6</v>
      </c>
    </row>
    <row r="23" spans="2:16" x14ac:dyDescent="0.35">
      <c r="B23" s="6" t="s">
        <v>263</v>
      </c>
      <c r="C23" s="19">
        <f t="shared" si="10"/>
        <v>41.4</v>
      </c>
      <c r="D23" s="19">
        <f t="shared" si="10"/>
        <v>8.1</v>
      </c>
      <c r="E23" s="19">
        <f t="shared" si="10"/>
        <v>4.5</v>
      </c>
      <c r="F23" s="19">
        <f t="shared" si="10"/>
        <v>54</v>
      </c>
      <c r="G23" s="19">
        <f t="shared" si="11"/>
        <v>43.2</v>
      </c>
      <c r="H23" s="19">
        <f t="shared" si="11"/>
        <v>3.6</v>
      </c>
      <c r="I23" s="19">
        <f t="shared" si="11"/>
        <v>7.2</v>
      </c>
      <c r="J23" s="19">
        <f t="shared" si="11"/>
        <v>54</v>
      </c>
      <c r="K23" s="19">
        <f t="shared" si="12"/>
        <v>46.711864406779661</v>
      </c>
      <c r="L23" s="19">
        <f t="shared" si="12"/>
        <v>6.2881355932203391</v>
      </c>
      <c r="M23" s="19">
        <f t="shared" si="12"/>
        <v>53</v>
      </c>
      <c r="N23" s="19">
        <f t="shared" si="13"/>
        <v>45</v>
      </c>
      <c r="O23" s="19">
        <f t="shared" si="13"/>
        <v>9</v>
      </c>
      <c r="P23" s="19">
        <f t="shared" si="13"/>
        <v>54</v>
      </c>
    </row>
    <row r="24" spans="2:16" x14ac:dyDescent="0.35">
      <c r="B24" s="3" t="s">
        <v>180</v>
      </c>
      <c r="C24" s="19">
        <f t="shared" si="10"/>
        <v>46</v>
      </c>
      <c r="D24" s="19">
        <f t="shared" si="10"/>
        <v>9</v>
      </c>
      <c r="E24" s="19">
        <f t="shared" si="10"/>
        <v>5</v>
      </c>
      <c r="F24" s="19">
        <f t="shared" si="10"/>
        <v>60</v>
      </c>
      <c r="G24" s="19">
        <f t="shared" si="11"/>
        <v>48</v>
      </c>
      <c r="H24" s="19">
        <f t="shared" si="11"/>
        <v>4</v>
      </c>
      <c r="I24" s="19">
        <f t="shared" si="11"/>
        <v>8</v>
      </c>
      <c r="J24" s="19">
        <f t="shared" si="11"/>
        <v>60</v>
      </c>
      <c r="K24" s="19">
        <f t="shared" si="12"/>
        <v>52</v>
      </c>
      <c r="L24" s="19">
        <f t="shared" si="12"/>
        <v>7</v>
      </c>
      <c r="M24" s="19">
        <f t="shared" si="12"/>
        <v>59</v>
      </c>
      <c r="N24" s="19">
        <f t="shared" si="13"/>
        <v>50</v>
      </c>
      <c r="O24" s="19">
        <f t="shared" si="13"/>
        <v>10</v>
      </c>
      <c r="P24" s="19">
        <f t="shared" si="13"/>
        <v>60</v>
      </c>
    </row>
    <row r="26" spans="2:16" x14ac:dyDescent="0.35">
      <c r="B26" s="3" t="s">
        <v>182</v>
      </c>
    </row>
    <row r="27" spans="2:16" x14ac:dyDescent="0.35">
      <c r="C27" s="48" t="s">
        <v>71</v>
      </c>
      <c r="D27" s="48"/>
      <c r="E27" s="45"/>
      <c r="F27" s="45"/>
      <c r="G27" s="48" t="s">
        <v>74</v>
      </c>
      <c r="H27" s="48"/>
      <c r="I27" s="48"/>
      <c r="J27" s="48"/>
      <c r="K27" s="48" t="s">
        <v>178</v>
      </c>
      <c r="L27" s="48"/>
      <c r="M27" s="48"/>
      <c r="N27" s="48" t="s">
        <v>179</v>
      </c>
      <c r="O27" s="48"/>
      <c r="P27" s="48"/>
    </row>
    <row r="28" spans="2:16" x14ac:dyDescent="0.35">
      <c r="C28" s="17" t="s">
        <v>273</v>
      </c>
      <c r="D28" s="17" t="s">
        <v>274</v>
      </c>
      <c r="E28" s="17" t="s">
        <v>275</v>
      </c>
      <c r="F28" s="20"/>
      <c r="G28" s="17" t="s">
        <v>273</v>
      </c>
      <c r="H28" s="17" t="s">
        <v>274</v>
      </c>
      <c r="I28" s="17" t="s">
        <v>275</v>
      </c>
      <c r="J28" s="20"/>
      <c r="K28" s="17" t="s">
        <v>277</v>
      </c>
      <c r="L28" s="17" t="s">
        <v>274</v>
      </c>
      <c r="M28" s="20"/>
      <c r="N28" s="17" t="s">
        <v>273</v>
      </c>
      <c r="O28" s="17" t="s">
        <v>275</v>
      </c>
      <c r="P28" s="20"/>
    </row>
    <row r="29" spans="2:16" x14ac:dyDescent="0.35">
      <c r="B29" s="6" t="s">
        <v>262</v>
      </c>
      <c r="C29" s="29">
        <f t="shared" ref="C29:E30" si="14">(C8-C22)^2/C22</f>
        <v>3.4782608695652237E-2</v>
      </c>
      <c r="D29" s="29">
        <f t="shared" si="14"/>
        <v>1.1111111111111105E-2</v>
      </c>
      <c r="E29" s="29">
        <f t="shared" si="14"/>
        <v>0.5</v>
      </c>
      <c r="F29" s="29"/>
      <c r="G29" s="29">
        <f>(G8-G22)^2/G22</f>
        <v>8.3333333333333488E-3</v>
      </c>
      <c r="H29" s="29">
        <f t="shared" ref="H29:I30" si="15">(H8-H22)^2/H22</f>
        <v>0.40000000000000008</v>
      </c>
      <c r="I29" s="29">
        <f t="shared" si="15"/>
        <v>4.9999999999999975E-2</v>
      </c>
      <c r="J29" s="29"/>
      <c r="K29" s="29">
        <f>(K8-K22)^2/K22</f>
        <v>1.569969578444156E-2</v>
      </c>
      <c r="L29" s="29">
        <f t="shared" ref="L29:L30" si="16">(L8-L22)^2/L22</f>
        <v>0.11662631154156579</v>
      </c>
      <c r="M29" s="29"/>
      <c r="N29" s="29">
        <f>(N8-N22)^2/N22</f>
        <v>0.8</v>
      </c>
      <c r="O29" s="29">
        <f t="shared" ref="O29:O30" si="17">(O8-O22)^2/O22</f>
        <v>4</v>
      </c>
      <c r="P29" s="21"/>
    </row>
    <row r="30" spans="2:16" x14ac:dyDescent="0.35">
      <c r="B30" s="6" t="s">
        <v>263</v>
      </c>
      <c r="C30" s="29">
        <f t="shared" si="14"/>
        <v>3.8647342995168808E-3</v>
      </c>
      <c r="D30" s="29">
        <f t="shared" si="14"/>
        <v>1.2345679012345592E-3</v>
      </c>
      <c r="E30" s="29">
        <f t="shared" si="14"/>
        <v>5.5555555555555552E-2</v>
      </c>
      <c r="F30" s="29"/>
      <c r="G30" s="29">
        <f>(G9-G23)^2/G23</f>
        <v>9.259259259259522E-4</v>
      </c>
      <c r="H30" s="29">
        <f t="shared" si="15"/>
        <v>4.4444444444444418E-2</v>
      </c>
      <c r="I30" s="29">
        <f t="shared" si="15"/>
        <v>5.5555555555555653E-3</v>
      </c>
      <c r="J30" s="29"/>
      <c r="K30" s="29">
        <f>(K9-K23)^2/K23</f>
        <v>1.777324051068856E-3</v>
      </c>
      <c r="L30" s="29">
        <f t="shared" si="16"/>
        <v>1.320297866508293E-2</v>
      </c>
      <c r="M30" s="29"/>
      <c r="N30" s="29">
        <f>(N9-N23)^2/N23</f>
        <v>8.8888888888888892E-2</v>
      </c>
      <c r="O30" s="29">
        <f t="shared" si="17"/>
        <v>0.44444444444444442</v>
      </c>
      <c r="P30" s="21"/>
    </row>
    <row r="31" spans="2:16" x14ac:dyDescent="0.35">
      <c r="B31" s="3"/>
      <c r="C31" s="21"/>
      <c r="D31" s="21"/>
      <c r="E31" s="21"/>
      <c r="F31" s="21"/>
      <c r="G31" s="21"/>
      <c r="H31" s="21"/>
      <c r="I31" s="21"/>
      <c r="J31" s="21"/>
      <c r="K31" s="21"/>
      <c r="L31" s="21"/>
      <c r="M31" s="21"/>
      <c r="N31" s="21"/>
      <c r="O31" s="21"/>
      <c r="P31" s="21"/>
    </row>
    <row r="32" spans="2:16" x14ac:dyDescent="0.35">
      <c r="B32" s="3" t="s">
        <v>185</v>
      </c>
      <c r="C32" s="21"/>
      <c r="D32" s="19">
        <v>2</v>
      </c>
      <c r="E32" s="19"/>
      <c r="F32" s="21"/>
      <c r="G32" s="19">
        <f>D32</f>
        <v>2</v>
      </c>
      <c r="H32" s="21"/>
      <c r="I32" s="21"/>
      <c r="J32" s="21"/>
      <c r="K32" s="19">
        <v>1</v>
      </c>
      <c r="L32" s="21"/>
      <c r="M32" s="21"/>
      <c r="N32" s="19">
        <v>1</v>
      </c>
      <c r="O32" s="21"/>
      <c r="P32" s="21"/>
    </row>
    <row r="33" spans="2:14" x14ac:dyDescent="0.35">
      <c r="B33" s="3" t="s">
        <v>183</v>
      </c>
      <c r="D33" s="13">
        <f>C29+C30+D29+D30+E29+E30</f>
        <v>0.60654857756307035</v>
      </c>
      <c r="E33" s="13"/>
      <c r="F33" s="13"/>
      <c r="G33" s="13">
        <f>G29+H29+G30+H30+I29+I30</f>
        <v>0.5092592592592593</v>
      </c>
      <c r="H33" s="13"/>
      <c r="I33" s="13"/>
      <c r="J33" s="13"/>
      <c r="K33" s="13">
        <f>K29+L29+K30+L30</f>
        <v>0.14730631004215916</v>
      </c>
      <c r="L33" s="13"/>
      <c r="M33" s="13"/>
      <c r="N33" s="13">
        <f>N29+N30+O29+O30</f>
        <v>5.3333333333333339</v>
      </c>
    </row>
    <row r="34" spans="2:14" x14ac:dyDescent="0.35">
      <c r="B34" s="3" t="s">
        <v>184</v>
      </c>
      <c r="D34" s="24">
        <f>_xlfn.CHISQ.DIST.RT(D33,D32)</f>
        <v>0.73839653470576216</v>
      </c>
      <c r="E34" s="32"/>
      <c r="G34" s="24">
        <f>_xlfn.CHISQ.DIST.RT(G33,G32)</f>
        <v>0.77520355722727885</v>
      </c>
      <c r="K34" s="24">
        <f>_xlfn.CHISQ.DIST.RT(K33,K32)</f>
        <v>0.70112295099574962</v>
      </c>
      <c r="N34" s="31">
        <f>_xlfn.CHISQ.DIST.RT(N33,N32)</f>
        <v>2.0921335337794028E-2</v>
      </c>
    </row>
  </sheetData>
  <mergeCells count="16">
    <mergeCell ref="C20:D20"/>
    <mergeCell ref="G20:J20"/>
    <mergeCell ref="K20:M20"/>
    <mergeCell ref="N20:P20"/>
    <mergeCell ref="C27:D27"/>
    <mergeCell ref="G27:J27"/>
    <mergeCell ref="K27:M27"/>
    <mergeCell ref="N27:P27"/>
    <mergeCell ref="C6:D6"/>
    <mergeCell ref="G6:J6"/>
    <mergeCell ref="K6:M6"/>
    <mergeCell ref="N6:P6"/>
    <mergeCell ref="C13:D13"/>
    <mergeCell ref="G13:J13"/>
    <mergeCell ref="K13:M13"/>
    <mergeCell ref="N13:P13"/>
  </mergeCells>
  <pageMargins left="0.7" right="0.7" top="0.75" bottom="0.75" header="0.3" footer="0.3"/>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61"/>
  <sheetViews>
    <sheetView workbookViewId="0">
      <pane ySplit="1" topLeftCell="A89" activePane="bottomLeft" state="frozen"/>
      <selection pane="bottomLeft"/>
    </sheetView>
  </sheetViews>
  <sheetFormatPr defaultRowHeight="14.5" x14ac:dyDescent="0.35"/>
  <cols>
    <col min="1" max="1" width="10.7265625" bestFit="1" customWidth="1"/>
    <col min="2" max="2" width="8.1796875" bestFit="1" customWidth="1"/>
    <col min="3" max="3" width="10.453125" bestFit="1" customWidth="1"/>
    <col min="4" max="5" width="11.54296875" bestFit="1" customWidth="1"/>
    <col min="6" max="6" width="9" bestFit="1" customWidth="1"/>
    <col min="7" max="7" width="12.1796875" bestFit="1" customWidth="1"/>
    <col min="8" max="8" width="9.26953125" bestFit="1" customWidth="1"/>
    <col min="9" max="9" width="12.453125" style="13" bestFit="1" customWidth="1"/>
    <col min="10" max="10" width="16.1796875" bestFit="1" customWidth="1"/>
    <col min="11" max="11" width="11.453125" style="2" bestFit="1" customWidth="1"/>
    <col min="12" max="12" width="12.26953125" bestFit="1" customWidth="1"/>
    <col min="13" max="13" width="12.26953125" customWidth="1"/>
    <col min="14" max="14" width="9.26953125" bestFit="1" customWidth="1"/>
    <col min="15" max="15" width="10.1796875" bestFit="1" customWidth="1"/>
    <col min="16" max="16" width="10.1796875" customWidth="1"/>
    <col min="17" max="17" width="17.26953125" bestFit="1" customWidth="1"/>
    <col min="18" max="18" width="18.1796875" bestFit="1" customWidth="1"/>
    <col min="19" max="19" width="18.1796875" customWidth="1"/>
    <col min="20" max="20" width="8.1796875" bestFit="1" customWidth="1"/>
    <col min="21" max="21" width="9" bestFit="1" customWidth="1"/>
    <col min="22" max="22" width="9" customWidth="1"/>
    <col min="23" max="23" width="16.453125" customWidth="1"/>
    <col min="24" max="26" width="17.453125" customWidth="1"/>
    <col min="27" max="27" width="14.54296875" style="2" customWidth="1"/>
    <col min="28" max="28" width="7.7265625" style="2" bestFit="1" customWidth="1"/>
    <col min="29" max="29" width="6.453125" style="2" bestFit="1" customWidth="1"/>
    <col min="30" max="30" width="5.26953125" style="2" bestFit="1" customWidth="1"/>
    <col min="31" max="31" width="10.81640625" style="2" bestFit="1" customWidth="1"/>
    <col min="32" max="32" width="10.453125" style="2" bestFit="1" customWidth="1"/>
    <col min="33" max="33" width="9" style="2" bestFit="1" customWidth="1"/>
    <col min="34" max="34" width="7.7265625" style="2" bestFit="1" customWidth="1"/>
    <col min="35" max="35" width="5.81640625" style="2" bestFit="1" customWidth="1"/>
    <col min="36" max="36" width="7.54296875" style="2" bestFit="1" customWidth="1"/>
    <col min="37" max="37" width="4.54296875" style="2" bestFit="1" customWidth="1"/>
    <col min="38" max="38" width="7.7265625" style="2" bestFit="1" customWidth="1"/>
    <col min="39" max="39" width="17.453125" bestFit="1" customWidth="1"/>
    <col min="40" max="40" width="12.1796875" bestFit="1" customWidth="1"/>
  </cols>
  <sheetData>
    <row r="1" spans="1:40" x14ac:dyDescent="0.35">
      <c r="A1" s="3" t="s">
        <v>171</v>
      </c>
      <c r="B1" s="3" t="s">
        <v>0</v>
      </c>
      <c r="C1" s="14" t="s">
        <v>170</v>
      </c>
      <c r="D1" s="14" t="s">
        <v>172</v>
      </c>
      <c r="E1" s="3" t="s">
        <v>161</v>
      </c>
      <c r="F1" s="3" t="s">
        <v>49</v>
      </c>
      <c r="G1" s="3" t="s">
        <v>129</v>
      </c>
      <c r="H1" s="3" t="s">
        <v>131</v>
      </c>
      <c r="I1" s="15" t="s">
        <v>132</v>
      </c>
      <c r="J1" s="3" t="s">
        <v>2</v>
      </c>
      <c r="K1" s="4" t="s">
        <v>143</v>
      </c>
      <c r="L1" s="3" t="s">
        <v>144</v>
      </c>
      <c r="M1" s="3" t="s">
        <v>145</v>
      </c>
      <c r="N1" s="3" t="s">
        <v>147</v>
      </c>
      <c r="O1" s="3" t="s">
        <v>148</v>
      </c>
      <c r="P1" s="3" t="s">
        <v>149</v>
      </c>
      <c r="Q1" s="3" t="s">
        <v>151</v>
      </c>
      <c r="R1" s="3" t="s">
        <v>152</v>
      </c>
      <c r="S1" s="3" t="s">
        <v>153</v>
      </c>
      <c r="T1" s="3" t="s">
        <v>154</v>
      </c>
      <c r="U1" s="3" t="s">
        <v>155</v>
      </c>
      <c r="V1" s="3" t="s">
        <v>156</v>
      </c>
      <c r="W1" s="3" t="s">
        <v>157</v>
      </c>
      <c r="X1" s="3" t="s">
        <v>158</v>
      </c>
      <c r="Y1" s="3" t="s">
        <v>159</v>
      </c>
      <c r="Z1" s="3" t="s">
        <v>272</v>
      </c>
      <c r="AA1" s="4" t="s">
        <v>4</v>
      </c>
      <c r="AB1" s="4" t="s">
        <v>136</v>
      </c>
      <c r="AC1" s="4" t="s">
        <v>137</v>
      </c>
      <c r="AD1" s="4" t="s">
        <v>5</v>
      </c>
      <c r="AE1" s="4" t="s">
        <v>138</v>
      </c>
      <c r="AF1" s="4" t="s">
        <v>6</v>
      </c>
      <c r="AG1" s="4" t="s">
        <v>38</v>
      </c>
      <c r="AH1" s="4" t="s">
        <v>39</v>
      </c>
      <c r="AI1" s="4" t="s">
        <v>8</v>
      </c>
      <c r="AJ1" s="4" t="s">
        <v>47</v>
      </c>
      <c r="AK1" s="4" t="s">
        <v>9</v>
      </c>
      <c r="AL1" s="4" t="s">
        <v>43</v>
      </c>
      <c r="AM1" s="3" t="s">
        <v>140</v>
      </c>
      <c r="AN1" s="3" t="s">
        <v>139</v>
      </c>
    </row>
    <row r="2" spans="1:40" x14ac:dyDescent="0.35">
      <c r="A2">
        <v>5</v>
      </c>
      <c r="B2" t="s">
        <v>164</v>
      </c>
      <c r="C2">
        <v>0.44</v>
      </c>
      <c r="D2" s="2">
        <v>17</v>
      </c>
      <c r="E2" t="s">
        <v>162</v>
      </c>
      <c r="F2" t="s">
        <v>56</v>
      </c>
      <c r="G2" t="s">
        <v>166</v>
      </c>
      <c r="H2">
        <v>0</v>
      </c>
      <c r="I2" s="13">
        <v>0.5</v>
      </c>
      <c r="J2">
        <v>2</v>
      </c>
      <c r="K2" s="2">
        <v>2</v>
      </c>
      <c r="L2">
        <v>3</v>
      </c>
      <c r="M2" s="2">
        <f t="shared" ref="M2:M48" si="0">L2-K2</f>
        <v>1</v>
      </c>
      <c r="N2">
        <v>7</v>
      </c>
      <c r="O2">
        <v>5</v>
      </c>
      <c r="P2">
        <f t="shared" ref="P2:P48" si="1">O2-N2</f>
        <v>-2</v>
      </c>
      <c r="Q2">
        <v>1</v>
      </c>
      <c r="R2">
        <v>1</v>
      </c>
      <c r="S2">
        <f t="shared" ref="S2:S48" si="2">R2-Q2</f>
        <v>0</v>
      </c>
      <c r="T2">
        <v>4</v>
      </c>
      <c r="U2">
        <v>4</v>
      </c>
      <c r="V2">
        <f t="shared" ref="V2:V48" si="3">U2-T2</f>
        <v>0</v>
      </c>
      <c r="W2">
        <v>2</v>
      </c>
      <c r="X2">
        <v>2</v>
      </c>
      <c r="Y2">
        <f t="shared" ref="Y2:Y48" si="4">X2-W2</f>
        <v>0</v>
      </c>
      <c r="Z2">
        <f>IF(OR(Y2&lt;0, X2&lt;1), 1, 0)</f>
        <v>0</v>
      </c>
      <c r="AA2" s="2">
        <v>0</v>
      </c>
      <c r="AB2" s="2">
        <v>1</v>
      </c>
      <c r="AC2" s="2">
        <v>0</v>
      </c>
      <c r="AD2">
        <f t="shared" ref="AD2:AD48" si="5">IF(AB2+AC2&gt;0,1,0)</f>
        <v>1</v>
      </c>
      <c r="AE2" s="2">
        <v>0</v>
      </c>
      <c r="AF2" s="2">
        <v>1</v>
      </c>
      <c r="AG2" s="2">
        <v>0</v>
      </c>
      <c r="AH2" s="2">
        <v>1</v>
      </c>
      <c r="AI2" s="2">
        <v>0</v>
      </c>
      <c r="AJ2" s="2">
        <v>1</v>
      </c>
      <c r="AK2" s="2">
        <v>0</v>
      </c>
      <c r="AL2" s="2">
        <v>0</v>
      </c>
      <c r="AM2">
        <f t="shared" ref="AM2:AM48" si="6">IF(AA2+AD2+AE2+AF2+AH2+AK2+AL2=0,1,0)</f>
        <v>0</v>
      </c>
      <c r="AN2" t="s">
        <v>6</v>
      </c>
    </row>
    <row r="3" spans="1:40" x14ac:dyDescent="0.35">
      <c r="A3">
        <v>6</v>
      </c>
      <c r="B3" t="s">
        <v>18</v>
      </c>
      <c r="C3">
        <v>-0.04</v>
      </c>
      <c r="D3" s="2">
        <v>135</v>
      </c>
      <c r="E3" t="s">
        <v>162</v>
      </c>
      <c r="F3" t="s">
        <v>53</v>
      </c>
      <c r="G3" t="s">
        <v>166</v>
      </c>
      <c r="H3">
        <v>0</v>
      </c>
      <c r="I3" s="13">
        <v>0.25</v>
      </c>
      <c r="J3">
        <v>1</v>
      </c>
      <c r="K3" s="2">
        <v>3</v>
      </c>
      <c r="L3">
        <v>3</v>
      </c>
      <c r="M3" s="2">
        <f t="shared" si="0"/>
        <v>0</v>
      </c>
      <c r="N3">
        <v>5</v>
      </c>
      <c r="O3">
        <v>5</v>
      </c>
      <c r="P3">
        <f t="shared" si="1"/>
        <v>0</v>
      </c>
      <c r="Q3">
        <v>1</v>
      </c>
      <c r="R3">
        <v>2</v>
      </c>
      <c r="S3">
        <f t="shared" si="2"/>
        <v>1</v>
      </c>
      <c r="T3">
        <v>4</v>
      </c>
      <c r="U3">
        <v>4</v>
      </c>
      <c r="V3">
        <f t="shared" si="3"/>
        <v>0</v>
      </c>
      <c r="W3">
        <v>1</v>
      </c>
      <c r="X3">
        <v>1</v>
      </c>
      <c r="Y3">
        <f t="shared" si="4"/>
        <v>0</v>
      </c>
      <c r="Z3">
        <f t="shared" ref="Z3:Z66" si="7">IF(OR(Y3&lt;0, X3&lt;1), 1, 0)</f>
        <v>0</v>
      </c>
      <c r="AA3" s="2">
        <v>0</v>
      </c>
      <c r="AB3" s="2">
        <v>1</v>
      </c>
      <c r="AC3" s="2">
        <v>0</v>
      </c>
      <c r="AD3">
        <f t="shared" si="5"/>
        <v>1</v>
      </c>
      <c r="AE3" s="2">
        <v>0</v>
      </c>
      <c r="AF3" s="2">
        <v>0</v>
      </c>
      <c r="AG3" s="2">
        <v>0</v>
      </c>
      <c r="AH3" s="2">
        <v>1</v>
      </c>
      <c r="AI3" s="2">
        <v>0</v>
      </c>
      <c r="AJ3" s="2">
        <v>0</v>
      </c>
      <c r="AK3" s="2">
        <v>0</v>
      </c>
      <c r="AL3" s="2">
        <v>0</v>
      </c>
      <c r="AM3">
        <f t="shared" si="6"/>
        <v>0</v>
      </c>
      <c r="AN3" t="s">
        <v>136</v>
      </c>
    </row>
    <row r="4" spans="1:40" x14ac:dyDescent="0.35">
      <c r="A4">
        <v>11</v>
      </c>
      <c r="B4" t="s">
        <v>165</v>
      </c>
      <c r="C4">
        <v>1.47</v>
      </c>
      <c r="D4">
        <v>7</v>
      </c>
      <c r="E4" t="s">
        <v>162</v>
      </c>
      <c r="F4" t="s">
        <v>56</v>
      </c>
      <c r="G4" t="s">
        <v>166</v>
      </c>
      <c r="H4">
        <v>0</v>
      </c>
      <c r="I4" s="13">
        <v>1</v>
      </c>
      <c r="J4">
        <v>2</v>
      </c>
      <c r="K4" s="2">
        <v>2</v>
      </c>
      <c r="L4">
        <v>1</v>
      </c>
      <c r="M4" s="2">
        <f t="shared" si="0"/>
        <v>-1</v>
      </c>
      <c r="N4">
        <v>9</v>
      </c>
      <c r="O4">
        <v>4</v>
      </c>
      <c r="P4">
        <f t="shared" si="1"/>
        <v>-5</v>
      </c>
      <c r="Q4">
        <v>3</v>
      </c>
      <c r="R4">
        <v>3</v>
      </c>
      <c r="S4">
        <f t="shared" si="2"/>
        <v>0</v>
      </c>
      <c r="T4">
        <v>1</v>
      </c>
      <c r="U4">
        <v>2</v>
      </c>
      <c r="V4">
        <f t="shared" si="3"/>
        <v>1</v>
      </c>
      <c r="W4">
        <v>1</v>
      </c>
      <c r="X4">
        <v>1</v>
      </c>
      <c r="Y4">
        <f t="shared" si="4"/>
        <v>0</v>
      </c>
      <c r="Z4">
        <f t="shared" si="7"/>
        <v>0</v>
      </c>
      <c r="AA4" s="5">
        <v>1</v>
      </c>
      <c r="AB4" s="5">
        <v>0</v>
      </c>
      <c r="AC4" s="5">
        <v>0</v>
      </c>
      <c r="AD4">
        <f t="shared" si="5"/>
        <v>0</v>
      </c>
      <c r="AE4" s="2">
        <v>0</v>
      </c>
      <c r="AF4" s="2">
        <v>0</v>
      </c>
      <c r="AG4" s="2">
        <v>0</v>
      </c>
      <c r="AH4" s="2">
        <v>1</v>
      </c>
      <c r="AI4" s="2">
        <v>0</v>
      </c>
      <c r="AJ4" s="2">
        <v>0</v>
      </c>
      <c r="AK4" s="2">
        <v>0</v>
      </c>
      <c r="AL4" s="2">
        <v>0</v>
      </c>
      <c r="AM4">
        <f t="shared" si="6"/>
        <v>0</v>
      </c>
      <c r="AN4" t="s">
        <v>4</v>
      </c>
    </row>
    <row r="5" spans="1:40" x14ac:dyDescent="0.35">
      <c r="A5">
        <v>12</v>
      </c>
      <c r="B5" t="s">
        <v>165</v>
      </c>
      <c r="C5">
        <v>1.47</v>
      </c>
      <c r="D5">
        <v>46</v>
      </c>
      <c r="E5" t="s">
        <v>162</v>
      </c>
      <c r="F5" t="s">
        <v>59</v>
      </c>
      <c r="G5" t="s">
        <v>166</v>
      </c>
      <c r="H5">
        <v>0</v>
      </c>
      <c r="I5" s="13">
        <v>0.5</v>
      </c>
      <c r="J5">
        <v>2</v>
      </c>
      <c r="K5" s="2">
        <v>4</v>
      </c>
      <c r="L5">
        <v>4</v>
      </c>
      <c r="M5" s="2">
        <f t="shared" si="0"/>
        <v>0</v>
      </c>
      <c r="N5">
        <v>7</v>
      </c>
      <c r="O5">
        <v>7</v>
      </c>
      <c r="P5">
        <f t="shared" si="1"/>
        <v>0</v>
      </c>
      <c r="Q5">
        <v>3</v>
      </c>
      <c r="R5">
        <v>3</v>
      </c>
      <c r="S5">
        <f t="shared" si="2"/>
        <v>0</v>
      </c>
      <c r="T5">
        <v>2</v>
      </c>
      <c r="U5">
        <v>2</v>
      </c>
      <c r="V5">
        <f t="shared" si="3"/>
        <v>0</v>
      </c>
      <c r="W5">
        <v>2</v>
      </c>
      <c r="X5">
        <v>0</v>
      </c>
      <c r="Y5">
        <f t="shared" si="4"/>
        <v>-2</v>
      </c>
      <c r="Z5">
        <f t="shared" si="7"/>
        <v>1</v>
      </c>
      <c r="AA5" s="2">
        <v>0</v>
      </c>
      <c r="AB5" s="2">
        <v>1</v>
      </c>
      <c r="AC5" s="2">
        <v>0</v>
      </c>
      <c r="AD5">
        <f t="shared" si="5"/>
        <v>1</v>
      </c>
      <c r="AE5" s="2">
        <v>0</v>
      </c>
      <c r="AF5" s="2">
        <v>0</v>
      </c>
      <c r="AG5" s="2">
        <v>0</v>
      </c>
      <c r="AH5" s="2">
        <v>0</v>
      </c>
      <c r="AI5" s="2">
        <v>0</v>
      </c>
      <c r="AJ5" s="2">
        <v>0</v>
      </c>
      <c r="AK5" s="2">
        <v>0</v>
      </c>
      <c r="AL5" s="2">
        <v>0</v>
      </c>
      <c r="AM5">
        <f t="shared" si="6"/>
        <v>0</v>
      </c>
      <c r="AN5" t="s">
        <v>136</v>
      </c>
    </row>
    <row r="6" spans="1:40" x14ac:dyDescent="0.35">
      <c r="A6">
        <v>13</v>
      </c>
      <c r="B6" t="s">
        <v>14</v>
      </c>
      <c r="C6">
        <v>1.42</v>
      </c>
      <c r="D6" s="2">
        <v>4</v>
      </c>
      <c r="E6" t="s">
        <v>160</v>
      </c>
      <c r="F6" t="s">
        <v>55</v>
      </c>
      <c r="G6" t="s">
        <v>166</v>
      </c>
      <c r="H6">
        <v>0</v>
      </c>
      <c r="I6" s="13">
        <v>0.25</v>
      </c>
      <c r="J6">
        <v>1</v>
      </c>
      <c r="K6" s="2">
        <v>2</v>
      </c>
      <c r="L6">
        <v>3</v>
      </c>
      <c r="M6" s="2">
        <f t="shared" si="0"/>
        <v>1</v>
      </c>
      <c r="N6">
        <v>2</v>
      </c>
      <c r="O6">
        <v>2</v>
      </c>
      <c r="P6">
        <f t="shared" si="1"/>
        <v>0</v>
      </c>
      <c r="Q6">
        <v>1</v>
      </c>
      <c r="R6">
        <v>1</v>
      </c>
      <c r="S6">
        <f t="shared" si="2"/>
        <v>0</v>
      </c>
      <c r="T6">
        <v>1</v>
      </c>
      <c r="U6">
        <v>1</v>
      </c>
      <c r="V6">
        <f t="shared" si="3"/>
        <v>0</v>
      </c>
      <c r="W6">
        <v>2</v>
      </c>
      <c r="X6">
        <v>2</v>
      </c>
      <c r="Y6">
        <f t="shared" si="4"/>
        <v>0</v>
      </c>
      <c r="Z6">
        <f t="shared" si="7"/>
        <v>0</v>
      </c>
      <c r="AA6" s="2">
        <v>0</v>
      </c>
      <c r="AB6" s="2">
        <v>0</v>
      </c>
      <c r="AC6" s="2">
        <v>0</v>
      </c>
      <c r="AD6">
        <f t="shared" si="5"/>
        <v>0</v>
      </c>
      <c r="AE6" s="2">
        <v>0</v>
      </c>
      <c r="AF6" s="2">
        <v>0</v>
      </c>
      <c r="AG6" s="2">
        <v>0</v>
      </c>
      <c r="AH6" s="2">
        <v>0</v>
      </c>
      <c r="AI6" s="2">
        <v>0</v>
      </c>
      <c r="AJ6" s="2">
        <v>0</v>
      </c>
      <c r="AK6" s="2">
        <v>0</v>
      </c>
      <c r="AL6" s="2">
        <v>0</v>
      </c>
      <c r="AM6">
        <f t="shared" si="6"/>
        <v>1</v>
      </c>
      <c r="AN6" t="s">
        <v>140</v>
      </c>
    </row>
    <row r="7" spans="1:40" x14ac:dyDescent="0.35">
      <c r="A7">
        <v>14</v>
      </c>
      <c r="B7" t="s">
        <v>164</v>
      </c>
      <c r="C7">
        <v>0.44</v>
      </c>
      <c r="D7" s="2">
        <v>4</v>
      </c>
      <c r="E7" t="s">
        <v>61</v>
      </c>
      <c r="F7" t="s">
        <v>53</v>
      </c>
      <c r="G7" t="s">
        <v>166</v>
      </c>
      <c r="H7">
        <v>0</v>
      </c>
      <c r="I7" s="13">
        <v>1</v>
      </c>
      <c r="J7">
        <v>2</v>
      </c>
      <c r="K7" s="2">
        <v>3</v>
      </c>
      <c r="L7">
        <v>2</v>
      </c>
      <c r="M7" s="2">
        <f t="shared" si="0"/>
        <v>-1</v>
      </c>
      <c r="N7">
        <v>7</v>
      </c>
      <c r="O7">
        <v>3</v>
      </c>
      <c r="P7">
        <f t="shared" si="1"/>
        <v>-4</v>
      </c>
      <c r="Q7">
        <v>2</v>
      </c>
      <c r="R7">
        <v>2</v>
      </c>
      <c r="S7">
        <f t="shared" si="2"/>
        <v>0</v>
      </c>
      <c r="T7">
        <v>1</v>
      </c>
      <c r="U7">
        <v>3</v>
      </c>
      <c r="V7">
        <f t="shared" si="3"/>
        <v>2</v>
      </c>
      <c r="W7">
        <v>1</v>
      </c>
      <c r="X7">
        <v>1</v>
      </c>
      <c r="Y7">
        <f t="shared" si="4"/>
        <v>0</v>
      </c>
      <c r="Z7">
        <f t="shared" si="7"/>
        <v>0</v>
      </c>
      <c r="AA7" s="2">
        <v>0</v>
      </c>
      <c r="AB7" s="2">
        <v>0</v>
      </c>
      <c r="AC7" s="2">
        <v>0</v>
      </c>
      <c r="AD7">
        <f t="shared" si="5"/>
        <v>0</v>
      </c>
      <c r="AE7" s="2">
        <v>0</v>
      </c>
      <c r="AF7" s="2">
        <v>0</v>
      </c>
      <c r="AG7" s="2">
        <v>0</v>
      </c>
      <c r="AH7" s="2">
        <v>0</v>
      </c>
      <c r="AI7" s="2">
        <v>0</v>
      </c>
      <c r="AJ7" s="2">
        <v>0</v>
      </c>
      <c r="AK7" s="2">
        <v>0</v>
      </c>
      <c r="AL7" s="2">
        <v>0</v>
      </c>
      <c r="AM7">
        <f t="shared" si="6"/>
        <v>1</v>
      </c>
      <c r="AN7" t="s">
        <v>140</v>
      </c>
    </row>
    <row r="8" spans="1:40" x14ac:dyDescent="0.35">
      <c r="A8">
        <v>16</v>
      </c>
      <c r="B8" t="s">
        <v>18</v>
      </c>
      <c r="C8">
        <v>-0.04</v>
      </c>
      <c r="D8" s="2">
        <v>13</v>
      </c>
      <c r="E8" t="s">
        <v>62</v>
      </c>
      <c r="F8" t="s">
        <v>55</v>
      </c>
      <c r="G8" t="s">
        <v>166</v>
      </c>
      <c r="H8">
        <v>0</v>
      </c>
      <c r="I8" s="13">
        <v>0.25</v>
      </c>
      <c r="J8">
        <v>1</v>
      </c>
      <c r="K8" s="2">
        <v>3</v>
      </c>
      <c r="L8">
        <v>3</v>
      </c>
      <c r="M8" s="2">
        <f t="shared" si="0"/>
        <v>0</v>
      </c>
      <c r="N8">
        <v>8</v>
      </c>
      <c r="O8">
        <v>8</v>
      </c>
      <c r="P8">
        <f t="shared" si="1"/>
        <v>0</v>
      </c>
      <c r="Q8">
        <v>1</v>
      </c>
      <c r="R8">
        <v>1</v>
      </c>
      <c r="S8">
        <f t="shared" si="2"/>
        <v>0</v>
      </c>
      <c r="T8">
        <v>2</v>
      </c>
      <c r="U8">
        <v>2</v>
      </c>
      <c r="V8">
        <f t="shared" si="3"/>
        <v>0</v>
      </c>
      <c r="W8">
        <v>1</v>
      </c>
      <c r="X8">
        <v>1</v>
      </c>
      <c r="Y8">
        <f t="shared" si="4"/>
        <v>0</v>
      </c>
      <c r="Z8">
        <f t="shared" si="7"/>
        <v>0</v>
      </c>
      <c r="AA8" s="2">
        <v>1</v>
      </c>
      <c r="AB8" s="2">
        <v>1</v>
      </c>
      <c r="AC8" s="2">
        <v>1</v>
      </c>
      <c r="AD8">
        <f t="shared" si="5"/>
        <v>1</v>
      </c>
      <c r="AE8" s="2">
        <v>0</v>
      </c>
      <c r="AF8" s="2">
        <v>0</v>
      </c>
      <c r="AG8" s="2">
        <v>0</v>
      </c>
      <c r="AH8" s="2">
        <v>0</v>
      </c>
      <c r="AI8" s="2">
        <v>0</v>
      </c>
      <c r="AJ8" s="2">
        <v>0</v>
      </c>
      <c r="AK8" s="2">
        <v>0</v>
      </c>
      <c r="AL8" s="2">
        <v>0</v>
      </c>
      <c r="AM8">
        <f t="shared" si="6"/>
        <v>0</v>
      </c>
      <c r="AN8" t="s">
        <v>136</v>
      </c>
    </row>
    <row r="9" spans="1:40" x14ac:dyDescent="0.35">
      <c r="A9">
        <v>17</v>
      </c>
      <c r="B9" t="s">
        <v>18</v>
      </c>
      <c r="C9">
        <v>-0.04</v>
      </c>
      <c r="D9" s="2">
        <v>12</v>
      </c>
      <c r="E9" t="s">
        <v>62</v>
      </c>
      <c r="F9" t="s">
        <v>53</v>
      </c>
      <c r="G9" t="s">
        <v>166</v>
      </c>
      <c r="H9">
        <v>0</v>
      </c>
      <c r="I9" s="13">
        <v>0.25</v>
      </c>
      <c r="J9">
        <v>1</v>
      </c>
      <c r="K9" s="2">
        <v>4</v>
      </c>
      <c r="L9">
        <v>4</v>
      </c>
      <c r="M9" s="2">
        <f t="shared" si="0"/>
        <v>0</v>
      </c>
      <c r="N9">
        <v>8</v>
      </c>
      <c r="O9">
        <v>8</v>
      </c>
      <c r="P9">
        <f t="shared" si="1"/>
        <v>0</v>
      </c>
      <c r="Q9">
        <v>3</v>
      </c>
      <c r="R9">
        <v>3</v>
      </c>
      <c r="S9">
        <f t="shared" si="2"/>
        <v>0</v>
      </c>
      <c r="T9">
        <v>1</v>
      </c>
      <c r="U9">
        <v>2</v>
      </c>
      <c r="V9">
        <f t="shared" si="3"/>
        <v>1</v>
      </c>
      <c r="W9">
        <v>1</v>
      </c>
      <c r="X9">
        <v>1</v>
      </c>
      <c r="Y9">
        <f t="shared" si="4"/>
        <v>0</v>
      </c>
      <c r="Z9">
        <f t="shared" si="7"/>
        <v>0</v>
      </c>
      <c r="AA9" s="2">
        <v>0</v>
      </c>
      <c r="AB9" s="2">
        <v>1</v>
      </c>
      <c r="AC9" s="2">
        <v>1</v>
      </c>
      <c r="AD9">
        <f t="shared" si="5"/>
        <v>1</v>
      </c>
      <c r="AE9" s="2">
        <v>1</v>
      </c>
      <c r="AF9" s="2">
        <v>1</v>
      </c>
      <c r="AG9" s="2">
        <v>0</v>
      </c>
      <c r="AH9" s="2">
        <v>1</v>
      </c>
      <c r="AI9" s="2">
        <v>0</v>
      </c>
      <c r="AJ9" s="2">
        <v>0</v>
      </c>
      <c r="AK9" s="2">
        <v>1</v>
      </c>
      <c r="AL9" s="2">
        <v>0</v>
      </c>
      <c r="AM9">
        <f t="shared" si="6"/>
        <v>0</v>
      </c>
      <c r="AN9" t="s">
        <v>9</v>
      </c>
    </row>
    <row r="10" spans="1:40" x14ac:dyDescent="0.35">
      <c r="A10">
        <v>20</v>
      </c>
      <c r="B10" t="s">
        <v>18</v>
      </c>
      <c r="C10">
        <v>-0.04</v>
      </c>
      <c r="D10" s="2">
        <v>60</v>
      </c>
      <c r="E10" t="s">
        <v>160</v>
      </c>
      <c r="F10" t="s">
        <v>53</v>
      </c>
      <c r="G10" t="s">
        <v>166</v>
      </c>
      <c r="H10">
        <v>0</v>
      </c>
      <c r="I10" s="13">
        <v>0.25</v>
      </c>
      <c r="J10">
        <v>1</v>
      </c>
      <c r="K10" s="2">
        <v>5</v>
      </c>
      <c r="L10">
        <v>5</v>
      </c>
      <c r="M10" s="2">
        <f t="shared" si="0"/>
        <v>0</v>
      </c>
      <c r="N10">
        <v>9</v>
      </c>
      <c r="O10">
        <v>9</v>
      </c>
      <c r="P10">
        <f t="shared" si="1"/>
        <v>0</v>
      </c>
      <c r="Q10">
        <v>2</v>
      </c>
      <c r="R10">
        <v>2</v>
      </c>
      <c r="S10">
        <f t="shared" si="2"/>
        <v>0</v>
      </c>
      <c r="T10">
        <v>1</v>
      </c>
      <c r="U10">
        <v>2</v>
      </c>
      <c r="V10">
        <f t="shared" si="3"/>
        <v>1</v>
      </c>
      <c r="W10">
        <v>1</v>
      </c>
      <c r="X10">
        <v>1</v>
      </c>
      <c r="Y10">
        <f t="shared" si="4"/>
        <v>0</v>
      </c>
      <c r="Z10">
        <f t="shared" si="7"/>
        <v>0</v>
      </c>
      <c r="AA10" s="2">
        <v>0</v>
      </c>
      <c r="AB10" s="2">
        <v>0</v>
      </c>
      <c r="AC10" s="2">
        <v>0</v>
      </c>
      <c r="AD10">
        <f t="shared" si="5"/>
        <v>0</v>
      </c>
      <c r="AE10" s="2">
        <v>0</v>
      </c>
      <c r="AF10" s="2">
        <v>1</v>
      </c>
      <c r="AG10" s="2">
        <v>0</v>
      </c>
      <c r="AH10" s="2">
        <v>0</v>
      </c>
      <c r="AI10" s="2">
        <v>0</v>
      </c>
      <c r="AJ10" s="2">
        <v>0</v>
      </c>
      <c r="AK10" s="2">
        <v>0</v>
      </c>
      <c r="AL10" s="2">
        <v>0</v>
      </c>
      <c r="AM10">
        <f t="shared" si="6"/>
        <v>0</v>
      </c>
      <c r="AN10" t="s">
        <v>6</v>
      </c>
    </row>
    <row r="11" spans="1:40" x14ac:dyDescent="0.35">
      <c r="A11">
        <v>23</v>
      </c>
      <c r="B11" t="s">
        <v>165</v>
      </c>
      <c r="C11">
        <v>1.47</v>
      </c>
      <c r="D11" s="2">
        <v>29</v>
      </c>
      <c r="E11" t="s">
        <v>162</v>
      </c>
      <c r="F11" t="s">
        <v>56</v>
      </c>
      <c r="G11" t="s">
        <v>166</v>
      </c>
      <c r="H11">
        <v>0</v>
      </c>
      <c r="I11" s="13">
        <v>1</v>
      </c>
      <c r="J11">
        <v>2</v>
      </c>
      <c r="K11" s="2">
        <v>7</v>
      </c>
      <c r="L11">
        <v>6</v>
      </c>
      <c r="M11" s="2">
        <f t="shared" si="0"/>
        <v>-1</v>
      </c>
      <c r="N11">
        <v>8</v>
      </c>
      <c r="O11">
        <v>6</v>
      </c>
      <c r="P11">
        <f t="shared" si="1"/>
        <v>-2</v>
      </c>
      <c r="Q11">
        <v>3</v>
      </c>
      <c r="R11">
        <v>3</v>
      </c>
      <c r="S11">
        <f t="shared" si="2"/>
        <v>0</v>
      </c>
      <c r="T11">
        <v>1</v>
      </c>
      <c r="U11">
        <v>1</v>
      </c>
      <c r="V11">
        <f t="shared" si="3"/>
        <v>0</v>
      </c>
      <c r="W11">
        <v>1</v>
      </c>
      <c r="X11">
        <v>1</v>
      </c>
      <c r="Y11">
        <f t="shared" si="4"/>
        <v>0</v>
      </c>
      <c r="Z11">
        <f t="shared" si="7"/>
        <v>0</v>
      </c>
      <c r="AA11" s="2">
        <v>0</v>
      </c>
      <c r="AB11" s="2">
        <v>0</v>
      </c>
      <c r="AC11" s="2">
        <v>0</v>
      </c>
      <c r="AD11">
        <f t="shared" si="5"/>
        <v>0</v>
      </c>
      <c r="AE11" s="2">
        <v>0</v>
      </c>
      <c r="AF11" s="2">
        <v>0</v>
      </c>
      <c r="AG11" s="2">
        <v>0</v>
      </c>
      <c r="AH11" s="2">
        <v>1</v>
      </c>
      <c r="AI11" s="2">
        <v>0</v>
      </c>
      <c r="AJ11" s="2">
        <v>0</v>
      </c>
      <c r="AK11" s="2">
        <v>0</v>
      </c>
      <c r="AL11" s="2">
        <v>1</v>
      </c>
      <c r="AM11">
        <f t="shared" si="6"/>
        <v>0</v>
      </c>
      <c r="AN11" t="s">
        <v>140</v>
      </c>
    </row>
    <row r="12" spans="1:40" x14ac:dyDescent="0.35">
      <c r="A12">
        <v>24</v>
      </c>
      <c r="B12" t="s">
        <v>18</v>
      </c>
      <c r="C12">
        <v>-0.04</v>
      </c>
      <c r="D12" s="2">
        <v>93</v>
      </c>
      <c r="E12" t="s">
        <v>160</v>
      </c>
      <c r="F12" t="s">
        <v>53</v>
      </c>
      <c r="G12" t="s">
        <v>167</v>
      </c>
      <c r="H12">
        <v>0</v>
      </c>
      <c r="I12" s="13">
        <v>0.25</v>
      </c>
      <c r="J12">
        <v>1</v>
      </c>
      <c r="K12" s="2">
        <v>4</v>
      </c>
      <c r="L12">
        <v>4</v>
      </c>
      <c r="M12" s="2">
        <f t="shared" si="0"/>
        <v>0</v>
      </c>
      <c r="N12">
        <v>8</v>
      </c>
      <c r="O12">
        <v>7</v>
      </c>
      <c r="P12">
        <f t="shared" si="1"/>
        <v>-1</v>
      </c>
      <c r="Q12">
        <v>2</v>
      </c>
      <c r="R12">
        <v>2</v>
      </c>
      <c r="S12">
        <f t="shared" si="2"/>
        <v>0</v>
      </c>
      <c r="T12">
        <v>2</v>
      </c>
      <c r="U12">
        <v>2</v>
      </c>
      <c r="V12">
        <f t="shared" si="3"/>
        <v>0</v>
      </c>
      <c r="W12">
        <v>0</v>
      </c>
      <c r="X12">
        <v>0</v>
      </c>
      <c r="Y12">
        <f t="shared" si="4"/>
        <v>0</v>
      </c>
      <c r="Z12">
        <f t="shared" si="7"/>
        <v>1</v>
      </c>
      <c r="AA12" s="2">
        <v>0</v>
      </c>
      <c r="AB12" s="2">
        <v>1</v>
      </c>
      <c r="AC12" s="2">
        <v>0</v>
      </c>
      <c r="AD12">
        <f t="shared" si="5"/>
        <v>1</v>
      </c>
      <c r="AE12" s="2">
        <v>0</v>
      </c>
      <c r="AF12" s="2">
        <v>1</v>
      </c>
      <c r="AG12" s="2">
        <v>0</v>
      </c>
      <c r="AH12" s="2">
        <v>1</v>
      </c>
      <c r="AI12" s="2">
        <v>0</v>
      </c>
      <c r="AJ12" s="2">
        <v>0</v>
      </c>
      <c r="AK12" s="2">
        <v>0</v>
      </c>
      <c r="AL12" s="2">
        <v>0</v>
      </c>
      <c r="AM12">
        <f t="shared" si="6"/>
        <v>0</v>
      </c>
      <c r="AN12" t="s">
        <v>136</v>
      </c>
    </row>
    <row r="13" spans="1:40" x14ac:dyDescent="0.35">
      <c r="A13">
        <v>25</v>
      </c>
      <c r="B13" t="s">
        <v>16</v>
      </c>
      <c r="C13">
        <v>1.61</v>
      </c>
      <c r="D13">
        <v>66</v>
      </c>
      <c r="E13" t="s">
        <v>141</v>
      </c>
      <c r="F13" t="s">
        <v>55</v>
      </c>
      <c r="G13" t="s">
        <v>166</v>
      </c>
      <c r="H13">
        <v>0</v>
      </c>
      <c r="I13" s="13">
        <v>0.5</v>
      </c>
      <c r="J13">
        <v>2</v>
      </c>
      <c r="K13" s="2">
        <v>3</v>
      </c>
      <c r="L13">
        <v>3</v>
      </c>
      <c r="M13" s="2">
        <f t="shared" si="0"/>
        <v>0</v>
      </c>
      <c r="N13">
        <v>8</v>
      </c>
      <c r="O13">
        <v>7</v>
      </c>
      <c r="P13">
        <f t="shared" si="1"/>
        <v>-1</v>
      </c>
      <c r="Q13">
        <v>2</v>
      </c>
      <c r="R13">
        <v>2</v>
      </c>
      <c r="S13">
        <f t="shared" si="2"/>
        <v>0</v>
      </c>
      <c r="T13">
        <v>4</v>
      </c>
      <c r="U13">
        <v>2</v>
      </c>
      <c r="V13">
        <f t="shared" si="3"/>
        <v>-2</v>
      </c>
      <c r="W13">
        <v>0</v>
      </c>
      <c r="X13">
        <v>0</v>
      </c>
      <c r="Y13">
        <f t="shared" si="4"/>
        <v>0</v>
      </c>
      <c r="Z13">
        <f t="shared" si="7"/>
        <v>1</v>
      </c>
      <c r="AA13" s="2">
        <v>0</v>
      </c>
      <c r="AB13" s="5">
        <v>1</v>
      </c>
      <c r="AC13" s="5">
        <v>1</v>
      </c>
      <c r="AD13">
        <f t="shared" si="5"/>
        <v>1</v>
      </c>
      <c r="AE13" s="2">
        <v>0</v>
      </c>
      <c r="AF13" s="2">
        <v>1</v>
      </c>
      <c r="AG13" s="2">
        <v>0</v>
      </c>
      <c r="AH13" s="2">
        <v>1</v>
      </c>
      <c r="AI13" s="2">
        <v>0</v>
      </c>
      <c r="AJ13" s="2">
        <v>0</v>
      </c>
      <c r="AK13" s="2">
        <v>1</v>
      </c>
      <c r="AL13" s="2">
        <v>0</v>
      </c>
      <c r="AM13">
        <f t="shared" si="6"/>
        <v>0</v>
      </c>
      <c r="AN13" t="s">
        <v>136</v>
      </c>
    </row>
    <row r="14" spans="1:40" x14ac:dyDescent="0.35">
      <c r="A14">
        <v>26</v>
      </c>
      <c r="B14" t="s">
        <v>14</v>
      </c>
      <c r="C14">
        <v>1.42</v>
      </c>
      <c r="D14" s="2">
        <v>23</v>
      </c>
      <c r="E14" t="s">
        <v>160</v>
      </c>
      <c r="F14" t="s">
        <v>53</v>
      </c>
      <c r="G14" t="s">
        <v>166</v>
      </c>
      <c r="H14">
        <v>0</v>
      </c>
      <c r="I14" s="13">
        <v>0.75</v>
      </c>
      <c r="J14">
        <v>1</v>
      </c>
      <c r="K14" s="2">
        <v>3</v>
      </c>
      <c r="L14">
        <v>3</v>
      </c>
      <c r="M14" s="2">
        <f t="shared" si="0"/>
        <v>0</v>
      </c>
      <c r="N14">
        <v>6</v>
      </c>
      <c r="O14">
        <v>3</v>
      </c>
      <c r="P14">
        <f t="shared" si="1"/>
        <v>-3</v>
      </c>
      <c r="Q14">
        <v>2</v>
      </c>
      <c r="R14">
        <v>2</v>
      </c>
      <c r="S14">
        <f t="shared" si="2"/>
        <v>0</v>
      </c>
      <c r="T14">
        <v>4</v>
      </c>
      <c r="U14">
        <v>4</v>
      </c>
      <c r="V14">
        <f t="shared" si="3"/>
        <v>0</v>
      </c>
      <c r="W14">
        <v>0</v>
      </c>
      <c r="X14">
        <v>0</v>
      </c>
      <c r="Y14">
        <f t="shared" si="4"/>
        <v>0</v>
      </c>
      <c r="Z14">
        <f t="shared" si="7"/>
        <v>1</v>
      </c>
      <c r="AA14" s="2">
        <v>0</v>
      </c>
      <c r="AB14" s="2">
        <v>0</v>
      </c>
      <c r="AC14" s="2">
        <v>0</v>
      </c>
      <c r="AD14">
        <f t="shared" si="5"/>
        <v>0</v>
      </c>
      <c r="AE14" s="2">
        <v>0</v>
      </c>
      <c r="AF14" s="2">
        <v>0</v>
      </c>
      <c r="AG14" s="2">
        <v>0</v>
      </c>
      <c r="AH14" s="2">
        <v>0</v>
      </c>
      <c r="AI14" s="2">
        <v>0</v>
      </c>
      <c r="AJ14" s="2">
        <v>0</v>
      </c>
      <c r="AK14" s="2">
        <v>0</v>
      </c>
      <c r="AL14" s="2">
        <v>0</v>
      </c>
      <c r="AM14">
        <f t="shared" si="6"/>
        <v>1</v>
      </c>
      <c r="AN14" t="s">
        <v>140</v>
      </c>
    </row>
    <row r="15" spans="1:40" x14ac:dyDescent="0.35">
      <c r="A15">
        <v>27</v>
      </c>
      <c r="B15" t="s">
        <v>18</v>
      </c>
      <c r="C15">
        <v>-0.04</v>
      </c>
      <c r="D15" s="5">
        <v>14</v>
      </c>
      <c r="E15" t="s">
        <v>141</v>
      </c>
      <c r="F15" t="s">
        <v>53</v>
      </c>
      <c r="G15" t="s">
        <v>166</v>
      </c>
      <c r="H15">
        <v>0</v>
      </c>
      <c r="I15" s="13">
        <v>0.5</v>
      </c>
      <c r="J15">
        <v>1</v>
      </c>
      <c r="K15" s="2">
        <v>5</v>
      </c>
      <c r="L15">
        <v>5</v>
      </c>
      <c r="M15" s="2">
        <f t="shared" si="0"/>
        <v>0</v>
      </c>
      <c r="N15">
        <v>7</v>
      </c>
      <c r="O15">
        <v>6</v>
      </c>
      <c r="P15">
        <f t="shared" si="1"/>
        <v>-1</v>
      </c>
      <c r="Q15">
        <v>3</v>
      </c>
      <c r="R15">
        <v>3</v>
      </c>
      <c r="S15">
        <f t="shared" si="2"/>
        <v>0</v>
      </c>
      <c r="T15">
        <v>3</v>
      </c>
      <c r="U15">
        <v>1</v>
      </c>
      <c r="V15">
        <f t="shared" si="3"/>
        <v>-2</v>
      </c>
      <c r="W15">
        <v>1</v>
      </c>
      <c r="X15">
        <v>1</v>
      </c>
      <c r="Y15">
        <f t="shared" si="4"/>
        <v>0</v>
      </c>
      <c r="Z15">
        <f t="shared" si="7"/>
        <v>0</v>
      </c>
      <c r="AA15" s="2">
        <v>0</v>
      </c>
      <c r="AB15" s="2">
        <v>0</v>
      </c>
      <c r="AC15" s="2">
        <v>0</v>
      </c>
      <c r="AD15">
        <f t="shared" si="5"/>
        <v>0</v>
      </c>
      <c r="AE15" s="2">
        <v>0</v>
      </c>
      <c r="AF15" s="2">
        <v>1</v>
      </c>
      <c r="AG15" s="2">
        <v>0</v>
      </c>
      <c r="AH15" s="2">
        <v>1</v>
      </c>
      <c r="AI15" s="2">
        <v>0</v>
      </c>
      <c r="AJ15" s="2">
        <v>0</v>
      </c>
      <c r="AK15" s="2">
        <v>1</v>
      </c>
      <c r="AL15" s="2">
        <v>0</v>
      </c>
      <c r="AM15">
        <f t="shared" si="6"/>
        <v>0</v>
      </c>
      <c r="AN15" s="9" t="s">
        <v>39</v>
      </c>
    </row>
    <row r="16" spans="1:40" x14ac:dyDescent="0.35">
      <c r="A16">
        <v>29</v>
      </c>
      <c r="B16" t="s">
        <v>165</v>
      </c>
      <c r="C16">
        <v>1.47</v>
      </c>
      <c r="D16">
        <v>24</v>
      </c>
      <c r="E16" t="s">
        <v>162</v>
      </c>
      <c r="F16" t="s">
        <v>56</v>
      </c>
      <c r="G16" t="s">
        <v>167</v>
      </c>
      <c r="H16">
        <v>0</v>
      </c>
      <c r="I16" s="13">
        <v>0.5</v>
      </c>
      <c r="J16">
        <v>2</v>
      </c>
      <c r="K16" s="2">
        <v>4</v>
      </c>
      <c r="L16">
        <v>4</v>
      </c>
      <c r="M16" s="2">
        <f t="shared" si="0"/>
        <v>0</v>
      </c>
      <c r="N16">
        <v>3</v>
      </c>
      <c r="O16">
        <v>3</v>
      </c>
      <c r="P16">
        <f t="shared" si="1"/>
        <v>0</v>
      </c>
      <c r="Q16">
        <v>3</v>
      </c>
      <c r="R16">
        <v>3</v>
      </c>
      <c r="S16">
        <f t="shared" si="2"/>
        <v>0</v>
      </c>
      <c r="T16">
        <v>1</v>
      </c>
      <c r="U16">
        <v>2</v>
      </c>
      <c r="V16">
        <f t="shared" si="3"/>
        <v>1</v>
      </c>
      <c r="W16">
        <v>1</v>
      </c>
      <c r="X16">
        <v>1</v>
      </c>
      <c r="Y16">
        <f t="shared" si="4"/>
        <v>0</v>
      </c>
      <c r="Z16">
        <f t="shared" si="7"/>
        <v>0</v>
      </c>
      <c r="AA16" s="2">
        <v>0</v>
      </c>
      <c r="AB16" s="2">
        <v>0</v>
      </c>
      <c r="AC16" s="2">
        <v>0</v>
      </c>
      <c r="AD16">
        <f t="shared" si="5"/>
        <v>0</v>
      </c>
      <c r="AE16" s="2">
        <v>0</v>
      </c>
      <c r="AF16" s="2">
        <v>1</v>
      </c>
      <c r="AG16" s="2">
        <v>0</v>
      </c>
      <c r="AH16" s="2">
        <v>1</v>
      </c>
      <c r="AI16" s="2">
        <v>0</v>
      </c>
      <c r="AJ16" s="2">
        <v>0</v>
      </c>
      <c r="AK16" s="2">
        <v>1</v>
      </c>
      <c r="AL16" s="2">
        <v>0</v>
      </c>
      <c r="AM16">
        <f t="shared" si="6"/>
        <v>0</v>
      </c>
      <c r="AN16" t="s">
        <v>140</v>
      </c>
    </row>
    <row r="17" spans="1:40" x14ac:dyDescent="0.35">
      <c r="A17">
        <v>30</v>
      </c>
      <c r="B17" t="s">
        <v>16</v>
      </c>
      <c r="C17">
        <v>1.61</v>
      </c>
      <c r="D17" s="2">
        <v>117</v>
      </c>
      <c r="E17" t="s">
        <v>52</v>
      </c>
      <c r="F17" t="s">
        <v>59</v>
      </c>
      <c r="G17" t="s">
        <v>167</v>
      </c>
      <c r="H17">
        <v>0</v>
      </c>
      <c r="I17" s="13">
        <v>0.25</v>
      </c>
      <c r="J17">
        <v>2</v>
      </c>
      <c r="K17" s="2">
        <v>9</v>
      </c>
      <c r="L17">
        <v>10</v>
      </c>
      <c r="M17" s="2">
        <f t="shared" si="0"/>
        <v>1</v>
      </c>
      <c r="N17">
        <v>9</v>
      </c>
      <c r="O17">
        <v>8</v>
      </c>
      <c r="P17">
        <f t="shared" si="1"/>
        <v>-1</v>
      </c>
      <c r="Q17">
        <v>2</v>
      </c>
      <c r="R17">
        <v>2</v>
      </c>
      <c r="S17">
        <f t="shared" si="2"/>
        <v>0</v>
      </c>
      <c r="T17">
        <v>1</v>
      </c>
      <c r="U17">
        <v>2</v>
      </c>
      <c r="V17">
        <f t="shared" si="3"/>
        <v>1</v>
      </c>
      <c r="W17">
        <v>0</v>
      </c>
      <c r="X17">
        <v>0</v>
      </c>
      <c r="Y17">
        <f t="shared" si="4"/>
        <v>0</v>
      </c>
      <c r="Z17">
        <f t="shared" si="7"/>
        <v>1</v>
      </c>
      <c r="AA17" s="2">
        <v>0</v>
      </c>
      <c r="AB17" s="5">
        <v>1</v>
      </c>
      <c r="AC17" s="5">
        <v>0</v>
      </c>
      <c r="AD17">
        <f t="shared" si="5"/>
        <v>1</v>
      </c>
      <c r="AE17" s="2">
        <v>0</v>
      </c>
      <c r="AF17" s="2">
        <v>1</v>
      </c>
      <c r="AG17" s="2">
        <v>0</v>
      </c>
      <c r="AH17" s="2">
        <v>1</v>
      </c>
      <c r="AI17" s="2">
        <v>0</v>
      </c>
      <c r="AJ17" s="2">
        <v>0</v>
      </c>
      <c r="AK17" s="2">
        <v>1</v>
      </c>
      <c r="AL17" s="2">
        <v>0</v>
      </c>
      <c r="AM17">
        <f t="shared" si="6"/>
        <v>0</v>
      </c>
      <c r="AN17" t="s">
        <v>6</v>
      </c>
    </row>
    <row r="18" spans="1:40" x14ac:dyDescent="0.35">
      <c r="A18">
        <v>31</v>
      </c>
      <c r="B18" t="s">
        <v>164</v>
      </c>
      <c r="C18">
        <v>0.44</v>
      </c>
      <c r="D18" s="2">
        <v>6</v>
      </c>
      <c r="E18" t="s">
        <v>162</v>
      </c>
      <c r="F18" t="s">
        <v>55</v>
      </c>
      <c r="G18" t="s">
        <v>166</v>
      </c>
      <c r="H18">
        <v>0</v>
      </c>
      <c r="I18" s="13">
        <v>0.25</v>
      </c>
      <c r="J18">
        <v>2</v>
      </c>
      <c r="K18" s="2">
        <v>3</v>
      </c>
      <c r="L18">
        <v>3</v>
      </c>
      <c r="M18" s="2">
        <f t="shared" si="0"/>
        <v>0</v>
      </c>
      <c r="N18">
        <v>5</v>
      </c>
      <c r="O18">
        <v>5</v>
      </c>
      <c r="P18">
        <f t="shared" si="1"/>
        <v>0</v>
      </c>
      <c r="Q18">
        <v>1</v>
      </c>
      <c r="R18">
        <v>1</v>
      </c>
      <c r="S18">
        <f t="shared" si="2"/>
        <v>0</v>
      </c>
      <c r="T18">
        <v>2</v>
      </c>
      <c r="U18">
        <v>2</v>
      </c>
      <c r="V18">
        <f t="shared" si="3"/>
        <v>0</v>
      </c>
      <c r="W18">
        <v>1</v>
      </c>
      <c r="X18">
        <v>1</v>
      </c>
      <c r="Y18">
        <f t="shared" si="4"/>
        <v>0</v>
      </c>
      <c r="Z18">
        <f t="shared" si="7"/>
        <v>0</v>
      </c>
      <c r="AA18" s="2">
        <v>0</v>
      </c>
      <c r="AB18" s="2">
        <v>0</v>
      </c>
      <c r="AC18" s="2">
        <v>0</v>
      </c>
      <c r="AD18">
        <f t="shared" si="5"/>
        <v>0</v>
      </c>
      <c r="AE18" s="2">
        <v>0</v>
      </c>
      <c r="AF18" s="2">
        <v>0</v>
      </c>
      <c r="AG18" s="2">
        <v>0</v>
      </c>
      <c r="AH18" s="2">
        <v>1</v>
      </c>
      <c r="AI18" s="2">
        <v>0</v>
      </c>
      <c r="AJ18" s="2">
        <v>0</v>
      </c>
      <c r="AK18" s="2">
        <v>0</v>
      </c>
      <c r="AL18" s="2">
        <v>0</v>
      </c>
      <c r="AM18">
        <f t="shared" si="6"/>
        <v>0</v>
      </c>
      <c r="AN18" t="s">
        <v>140</v>
      </c>
    </row>
    <row r="19" spans="1:40" x14ac:dyDescent="0.35">
      <c r="A19">
        <v>36</v>
      </c>
      <c r="B19" t="s">
        <v>16</v>
      </c>
      <c r="C19">
        <v>1.61</v>
      </c>
      <c r="D19">
        <v>146</v>
      </c>
      <c r="E19" t="s">
        <v>52</v>
      </c>
      <c r="F19" t="s">
        <v>56</v>
      </c>
      <c r="G19" t="s">
        <v>166</v>
      </c>
      <c r="H19">
        <v>1</v>
      </c>
      <c r="I19" s="13">
        <v>1</v>
      </c>
      <c r="J19">
        <v>1</v>
      </c>
      <c r="K19" s="2">
        <v>2</v>
      </c>
      <c r="L19">
        <v>1</v>
      </c>
      <c r="M19" s="2">
        <f t="shared" si="0"/>
        <v>-1</v>
      </c>
      <c r="N19">
        <v>3</v>
      </c>
      <c r="O19">
        <v>2</v>
      </c>
      <c r="P19">
        <f t="shared" si="1"/>
        <v>-1</v>
      </c>
      <c r="Q19">
        <v>1</v>
      </c>
      <c r="R19">
        <v>1</v>
      </c>
      <c r="S19">
        <f t="shared" si="2"/>
        <v>0</v>
      </c>
      <c r="T19">
        <v>2</v>
      </c>
      <c r="U19">
        <v>2</v>
      </c>
      <c r="V19">
        <f t="shared" si="3"/>
        <v>0</v>
      </c>
      <c r="W19">
        <v>2</v>
      </c>
      <c r="X19">
        <v>2</v>
      </c>
      <c r="Y19">
        <f t="shared" si="4"/>
        <v>0</v>
      </c>
      <c r="Z19">
        <f t="shared" si="7"/>
        <v>0</v>
      </c>
      <c r="AA19" s="2">
        <v>1</v>
      </c>
      <c r="AB19" s="5">
        <v>0</v>
      </c>
      <c r="AC19" s="5">
        <v>1</v>
      </c>
      <c r="AD19">
        <f t="shared" si="5"/>
        <v>1</v>
      </c>
      <c r="AE19" s="2">
        <v>1</v>
      </c>
      <c r="AF19" s="2">
        <v>0</v>
      </c>
      <c r="AG19" s="2">
        <v>0</v>
      </c>
      <c r="AH19" s="2">
        <v>0</v>
      </c>
      <c r="AI19" s="5">
        <v>1</v>
      </c>
      <c r="AJ19" s="5">
        <v>1</v>
      </c>
      <c r="AK19" s="2">
        <v>0</v>
      </c>
      <c r="AL19" s="2">
        <v>0</v>
      </c>
      <c r="AM19">
        <f t="shared" si="6"/>
        <v>0</v>
      </c>
      <c r="AN19" t="s">
        <v>8</v>
      </c>
    </row>
    <row r="20" spans="1:40" x14ac:dyDescent="0.35">
      <c r="A20">
        <v>38</v>
      </c>
      <c r="B20" t="s">
        <v>164</v>
      </c>
      <c r="C20">
        <v>0.44</v>
      </c>
      <c r="D20" s="5">
        <v>14</v>
      </c>
      <c r="E20" t="s">
        <v>61</v>
      </c>
      <c r="F20" t="s">
        <v>53</v>
      </c>
      <c r="G20" t="s">
        <v>166</v>
      </c>
      <c r="H20">
        <v>0</v>
      </c>
      <c r="I20" s="13">
        <v>0.75</v>
      </c>
      <c r="J20">
        <v>2</v>
      </c>
      <c r="K20" s="2">
        <v>2</v>
      </c>
      <c r="L20">
        <v>1</v>
      </c>
      <c r="M20" s="2">
        <f t="shared" si="0"/>
        <v>-1</v>
      </c>
      <c r="N20">
        <v>9</v>
      </c>
      <c r="O20">
        <v>9</v>
      </c>
      <c r="P20">
        <f t="shared" si="1"/>
        <v>0</v>
      </c>
      <c r="Q20">
        <v>1</v>
      </c>
      <c r="R20">
        <v>1</v>
      </c>
      <c r="S20">
        <f t="shared" si="2"/>
        <v>0</v>
      </c>
      <c r="T20">
        <v>1</v>
      </c>
      <c r="U20">
        <v>1</v>
      </c>
      <c r="V20">
        <f t="shared" si="3"/>
        <v>0</v>
      </c>
      <c r="W20">
        <v>0</v>
      </c>
      <c r="X20">
        <v>1</v>
      </c>
      <c r="Y20">
        <f t="shared" si="4"/>
        <v>1</v>
      </c>
      <c r="Z20">
        <f t="shared" si="7"/>
        <v>0</v>
      </c>
      <c r="AA20" s="2">
        <v>0</v>
      </c>
      <c r="AB20" s="2">
        <v>0</v>
      </c>
      <c r="AC20" s="2">
        <v>0</v>
      </c>
      <c r="AD20">
        <f t="shared" si="5"/>
        <v>0</v>
      </c>
      <c r="AE20" s="2">
        <v>0</v>
      </c>
      <c r="AF20" s="2">
        <v>0</v>
      </c>
      <c r="AG20" s="2">
        <v>0</v>
      </c>
      <c r="AH20" s="2">
        <v>1</v>
      </c>
      <c r="AI20" s="2">
        <v>0</v>
      </c>
      <c r="AJ20" s="2">
        <v>0</v>
      </c>
      <c r="AK20" s="2">
        <v>0</v>
      </c>
      <c r="AL20" s="2">
        <v>0</v>
      </c>
      <c r="AM20">
        <f t="shared" si="6"/>
        <v>0</v>
      </c>
      <c r="AN20" s="9" t="s">
        <v>39</v>
      </c>
    </row>
    <row r="21" spans="1:40" x14ac:dyDescent="0.35">
      <c r="A21">
        <v>40</v>
      </c>
      <c r="B21" t="s">
        <v>164</v>
      </c>
      <c r="C21">
        <v>0.44</v>
      </c>
      <c r="D21" s="5">
        <v>6</v>
      </c>
      <c r="E21" t="s">
        <v>141</v>
      </c>
      <c r="F21" t="s">
        <v>53</v>
      </c>
      <c r="G21" t="s">
        <v>166</v>
      </c>
      <c r="H21">
        <v>0</v>
      </c>
      <c r="I21" s="13">
        <v>0.75</v>
      </c>
      <c r="J21">
        <v>2</v>
      </c>
      <c r="K21" s="2">
        <v>3</v>
      </c>
      <c r="L21">
        <v>4</v>
      </c>
      <c r="M21" s="2">
        <f t="shared" si="0"/>
        <v>1</v>
      </c>
      <c r="N21">
        <v>9</v>
      </c>
      <c r="O21">
        <v>2</v>
      </c>
      <c r="P21">
        <f t="shared" si="1"/>
        <v>-7</v>
      </c>
      <c r="Q21">
        <v>1</v>
      </c>
      <c r="R21">
        <v>2</v>
      </c>
      <c r="S21">
        <f t="shared" si="2"/>
        <v>1</v>
      </c>
      <c r="T21">
        <v>2</v>
      </c>
      <c r="U21">
        <v>2</v>
      </c>
      <c r="V21">
        <f t="shared" si="3"/>
        <v>0</v>
      </c>
      <c r="W21">
        <v>2</v>
      </c>
      <c r="X21">
        <v>1</v>
      </c>
      <c r="Y21">
        <f t="shared" si="4"/>
        <v>-1</v>
      </c>
      <c r="Z21">
        <f t="shared" si="7"/>
        <v>1</v>
      </c>
      <c r="AA21" s="2">
        <v>0</v>
      </c>
      <c r="AB21" s="2">
        <v>0</v>
      </c>
      <c r="AC21" s="2">
        <v>0</v>
      </c>
      <c r="AD21">
        <f t="shared" si="5"/>
        <v>0</v>
      </c>
      <c r="AE21" s="2">
        <v>0</v>
      </c>
      <c r="AF21" s="2">
        <v>1</v>
      </c>
      <c r="AG21" s="2">
        <v>0</v>
      </c>
      <c r="AH21" s="2">
        <v>0</v>
      </c>
      <c r="AI21" s="2">
        <v>0</v>
      </c>
      <c r="AJ21" s="2">
        <v>1</v>
      </c>
      <c r="AK21" s="2">
        <v>0</v>
      </c>
      <c r="AL21" s="2">
        <v>0</v>
      </c>
      <c r="AM21">
        <f t="shared" si="6"/>
        <v>0</v>
      </c>
      <c r="AN21" s="9" t="s">
        <v>47</v>
      </c>
    </row>
    <row r="22" spans="1:40" x14ac:dyDescent="0.35">
      <c r="A22">
        <v>41</v>
      </c>
      <c r="B22" t="s">
        <v>16</v>
      </c>
      <c r="C22">
        <v>1.61</v>
      </c>
      <c r="D22" s="2">
        <v>109</v>
      </c>
      <c r="E22" t="s">
        <v>52</v>
      </c>
      <c r="F22" t="s">
        <v>60</v>
      </c>
      <c r="G22" t="s">
        <v>167</v>
      </c>
      <c r="H22">
        <v>0</v>
      </c>
      <c r="I22" s="13">
        <v>0.25</v>
      </c>
      <c r="J22">
        <v>2</v>
      </c>
      <c r="K22" s="2">
        <v>4</v>
      </c>
      <c r="L22">
        <v>4</v>
      </c>
      <c r="M22" s="2">
        <f t="shared" si="0"/>
        <v>0</v>
      </c>
      <c r="N22">
        <v>8</v>
      </c>
      <c r="O22">
        <v>8</v>
      </c>
      <c r="P22">
        <f t="shared" si="1"/>
        <v>0</v>
      </c>
      <c r="Q22">
        <v>1</v>
      </c>
      <c r="R22">
        <v>1</v>
      </c>
      <c r="S22">
        <f t="shared" si="2"/>
        <v>0</v>
      </c>
      <c r="T22">
        <v>1</v>
      </c>
      <c r="U22">
        <v>1</v>
      </c>
      <c r="V22">
        <f t="shared" si="3"/>
        <v>0</v>
      </c>
      <c r="W22">
        <v>0</v>
      </c>
      <c r="X22">
        <v>0</v>
      </c>
      <c r="Y22">
        <f t="shared" si="4"/>
        <v>0</v>
      </c>
      <c r="Z22">
        <f t="shared" si="7"/>
        <v>1</v>
      </c>
      <c r="AA22" s="2">
        <v>0</v>
      </c>
      <c r="AB22" s="5">
        <v>0</v>
      </c>
      <c r="AC22" s="5">
        <v>0</v>
      </c>
      <c r="AD22">
        <f t="shared" si="5"/>
        <v>0</v>
      </c>
      <c r="AE22" s="2">
        <v>0</v>
      </c>
      <c r="AF22" s="2">
        <v>0</v>
      </c>
      <c r="AG22" s="2">
        <v>0</v>
      </c>
      <c r="AH22" s="2">
        <v>0</v>
      </c>
      <c r="AI22" s="2">
        <v>0</v>
      </c>
      <c r="AJ22" s="2">
        <v>0</v>
      </c>
      <c r="AK22" s="2">
        <v>0</v>
      </c>
      <c r="AL22" s="2">
        <v>0</v>
      </c>
      <c r="AM22">
        <f t="shared" si="6"/>
        <v>1</v>
      </c>
      <c r="AN22" t="s">
        <v>140</v>
      </c>
    </row>
    <row r="23" spans="1:40" x14ac:dyDescent="0.35">
      <c r="A23">
        <v>42</v>
      </c>
      <c r="B23" t="s">
        <v>16</v>
      </c>
      <c r="C23">
        <v>1.61</v>
      </c>
      <c r="D23" s="2">
        <v>6</v>
      </c>
      <c r="E23" t="s">
        <v>52</v>
      </c>
      <c r="F23" t="s">
        <v>56</v>
      </c>
      <c r="G23" t="s">
        <v>166</v>
      </c>
      <c r="H23">
        <v>0</v>
      </c>
      <c r="I23" s="13">
        <v>0.25</v>
      </c>
      <c r="J23">
        <v>2</v>
      </c>
      <c r="K23" s="2">
        <v>6</v>
      </c>
      <c r="L23">
        <v>6</v>
      </c>
      <c r="M23" s="2">
        <f t="shared" si="0"/>
        <v>0</v>
      </c>
      <c r="N23">
        <v>8</v>
      </c>
      <c r="O23">
        <v>8</v>
      </c>
      <c r="P23">
        <f t="shared" si="1"/>
        <v>0</v>
      </c>
      <c r="Q23">
        <v>2</v>
      </c>
      <c r="R23">
        <v>2</v>
      </c>
      <c r="S23">
        <f t="shared" si="2"/>
        <v>0</v>
      </c>
      <c r="T23">
        <v>2</v>
      </c>
      <c r="U23">
        <v>2</v>
      </c>
      <c r="V23">
        <f t="shared" si="3"/>
        <v>0</v>
      </c>
      <c r="W23">
        <v>1</v>
      </c>
      <c r="X23">
        <v>1</v>
      </c>
      <c r="Y23">
        <f t="shared" si="4"/>
        <v>0</v>
      </c>
      <c r="Z23">
        <f t="shared" si="7"/>
        <v>0</v>
      </c>
      <c r="AA23" s="2">
        <v>0</v>
      </c>
      <c r="AB23" s="5">
        <v>0</v>
      </c>
      <c r="AC23" s="5">
        <v>0</v>
      </c>
      <c r="AD23">
        <f t="shared" si="5"/>
        <v>0</v>
      </c>
      <c r="AE23" s="2">
        <v>0</v>
      </c>
      <c r="AF23" s="2">
        <v>1</v>
      </c>
      <c r="AG23" s="2">
        <v>0</v>
      </c>
      <c r="AH23" s="2">
        <v>0</v>
      </c>
      <c r="AI23" s="2">
        <v>0</v>
      </c>
      <c r="AJ23" s="2">
        <v>0</v>
      </c>
      <c r="AK23" s="2">
        <v>0</v>
      </c>
      <c r="AL23" s="2">
        <v>0</v>
      </c>
      <c r="AM23">
        <f t="shared" si="6"/>
        <v>0</v>
      </c>
      <c r="AN23" t="s">
        <v>6</v>
      </c>
    </row>
    <row r="24" spans="1:40" x14ac:dyDescent="0.35">
      <c r="A24">
        <v>44</v>
      </c>
      <c r="B24" t="s">
        <v>16</v>
      </c>
      <c r="C24">
        <v>1.61</v>
      </c>
      <c r="D24" s="2">
        <v>66</v>
      </c>
      <c r="E24" t="s">
        <v>52</v>
      </c>
      <c r="F24" t="s">
        <v>55</v>
      </c>
      <c r="G24" t="s">
        <v>167</v>
      </c>
      <c r="H24">
        <v>0</v>
      </c>
      <c r="I24" s="13">
        <v>0.75</v>
      </c>
      <c r="J24">
        <v>2</v>
      </c>
      <c r="K24" s="2">
        <v>5</v>
      </c>
      <c r="L24">
        <v>5</v>
      </c>
      <c r="M24" s="2">
        <f t="shared" si="0"/>
        <v>0</v>
      </c>
      <c r="N24">
        <v>4</v>
      </c>
      <c r="O24">
        <v>2</v>
      </c>
      <c r="P24">
        <f t="shared" si="1"/>
        <v>-2</v>
      </c>
      <c r="Q24">
        <v>1</v>
      </c>
      <c r="R24">
        <v>1</v>
      </c>
      <c r="S24">
        <f t="shared" si="2"/>
        <v>0</v>
      </c>
      <c r="T24">
        <v>4</v>
      </c>
      <c r="U24">
        <v>2</v>
      </c>
      <c r="V24">
        <f t="shared" si="3"/>
        <v>-2</v>
      </c>
      <c r="W24">
        <v>2</v>
      </c>
      <c r="X24">
        <v>0</v>
      </c>
      <c r="Y24">
        <f t="shared" si="4"/>
        <v>-2</v>
      </c>
      <c r="Z24">
        <f t="shared" si="7"/>
        <v>1</v>
      </c>
      <c r="AA24" s="2">
        <v>0</v>
      </c>
      <c r="AB24" s="5">
        <v>1</v>
      </c>
      <c r="AC24" s="5">
        <v>0</v>
      </c>
      <c r="AD24">
        <f t="shared" si="5"/>
        <v>1</v>
      </c>
      <c r="AE24" s="2">
        <v>0</v>
      </c>
      <c r="AF24" s="2">
        <v>1</v>
      </c>
      <c r="AG24" s="2">
        <v>0</v>
      </c>
      <c r="AH24" s="2">
        <v>1</v>
      </c>
      <c r="AI24" s="2">
        <v>0</v>
      </c>
      <c r="AJ24" s="2">
        <v>0</v>
      </c>
      <c r="AK24" s="2">
        <v>1</v>
      </c>
      <c r="AL24" s="2">
        <v>0</v>
      </c>
      <c r="AM24">
        <f t="shared" si="6"/>
        <v>0</v>
      </c>
      <c r="AN24" t="s">
        <v>6</v>
      </c>
    </row>
    <row r="25" spans="1:40" x14ac:dyDescent="0.35">
      <c r="A25">
        <v>46</v>
      </c>
      <c r="B25" t="s">
        <v>16</v>
      </c>
      <c r="C25">
        <v>1.61</v>
      </c>
      <c r="D25" s="2">
        <v>7</v>
      </c>
      <c r="E25" t="s">
        <v>52</v>
      </c>
      <c r="F25" t="s">
        <v>56</v>
      </c>
      <c r="G25" t="s">
        <v>166</v>
      </c>
      <c r="H25">
        <v>0</v>
      </c>
      <c r="I25" s="13">
        <v>0.25</v>
      </c>
      <c r="J25">
        <v>2</v>
      </c>
      <c r="K25" s="2">
        <v>6</v>
      </c>
      <c r="L25">
        <v>6</v>
      </c>
      <c r="M25" s="2">
        <f t="shared" si="0"/>
        <v>0</v>
      </c>
      <c r="N25">
        <v>7</v>
      </c>
      <c r="O25">
        <v>7</v>
      </c>
      <c r="P25">
        <f t="shared" si="1"/>
        <v>0</v>
      </c>
      <c r="Q25">
        <v>3</v>
      </c>
      <c r="R25">
        <v>3</v>
      </c>
      <c r="S25">
        <f t="shared" si="2"/>
        <v>0</v>
      </c>
      <c r="T25">
        <v>5</v>
      </c>
      <c r="U25">
        <v>5</v>
      </c>
      <c r="V25">
        <f t="shared" si="3"/>
        <v>0</v>
      </c>
      <c r="W25">
        <v>0</v>
      </c>
      <c r="X25">
        <v>0</v>
      </c>
      <c r="Y25">
        <f t="shared" si="4"/>
        <v>0</v>
      </c>
      <c r="Z25">
        <f t="shared" si="7"/>
        <v>1</v>
      </c>
      <c r="AA25" s="2">
        <v>0</v>
      </c>
      <c r="AB25" s="5">
        <v>1</v>
      </c>
      <c r="AC25" s="5">
        <v>0</v>
      </c>
      <c r="AD25">
        <f t="shared" si="5"/>
        <v>1</v>
      </c>
      <c r="AE25" s="2">
        <v>1</v>
      </c>
      <c r="AF25" s="2">
        <v>0</v>
      </c>
      <c r="AG25" s="2">
        <v>0</v>
      </c>
      <c r="AH25" s="2">
        <v>1</v>
      </c>
      <c r="AI25" s="2">
        <v>0</v>
      </c>
      <c r="AJ25" s="2">
        <v>0</v>
      </c>
      <c r="AK25" s="2">
        <v>1</v>
      </c>
      <c r="AL25" s="2">
        <v>0</v>
      </c>
      <c r="AM25">
        <f t="shared" si="6"/>
        <v>0</v>
      </c>
      <c r="AN25" t="s">
        <v>136</v>
      </c>
    </row>
    <row r="26" spans="1:40" x14ac:dyDescent="0.35">
      <c r="A26">
        <v>48</v>
      </c>
      <c r="B26" t="s">
        <v>18</v>
      </c>
      <c r="C26">
        <v>-0.04</v>
      </c>
      <c r="D26" s="2">
        <v>56</v>
      </c>
      <c r="E26" t="s">
        <v>160</v>
      </c>
      <c r="F26" t="s">
        <v>55</v>
      </c>
      <c r="G26" t="s">
        <v>167</v>
      </c>
      <c r="H26">
        <v>0</v>
      </c>
      <c r="I26" s="13">
        <v>0.25</v>
      </c>
      <c r="J26">
        <v>1</v>
      </c>
      <c r="K26" s="2">
        <v>3</v>
      </c>
      <c r="L26">
        <v>3</v>
      </c>
      <c r="M26" s="2">
        <f t="shared" si="0"/>
        <v>0</v>
      </c>
      <c r="N26">
        <v>6</v>
      </c>
      <c r="O26">
        <v>5</v>
      </c>
      <c r="P26">
        <f t="shared" si="1"/>
        <v>-1</v>
      </c>
      <c r="Q26">
        <v>2</v>
      </c>
      <c r="R26">
        <v>2</v>
      </c>
      <c r="S26">
        <f t="shared" si="2"/>
        <v>0</v>
      </c>
      <c r="T26">
        <v>1</v>
      </c>
      <c r="U26">
        <v>1</v>
      </c>
      <c r="V26">
        <f t="shared" si="3"/>
        <v>0</v>
      </c>
      <c r="W26">
        <v>1</v>
      </c>
      <c r="X26">
        <v>1</v>
      </c>
      <c r="Y26">
        <f t="shared" si="4"/>
        <v>0</v>
      </c>
      <c r="Z26">
        <f t="shared" si="7"/>
        <v>0</v>
      </c>
      <c r="AA26" s="2">
        <v>0</v>
      </c>
      <c r="AB26" s="2">
        <v>0</v>
      </c>
      <c r="AC26" s="2">
        <v>0</v>
      </c>
      <c r="AD26">
        <f t="shared" si="5"/>
        <v>0</v>
      </c>
      <c r="AE26" s="2">
        <v>0</v>
      </c>
      <c r="AF26" s="2">
        <v>0</v>
      </c>
      <c r="AG26" s="2">
        <v>0</v>
      </c>
      <c r="AH26" s="2">
        <v>1</v>
      </c>
      <c r="AI26" s="2">
        <v>0</v>
      </c>
      <c r="AJ26" s="2">
        <v>0</v>
      </c>
      <c r="AK26" s="2">
        <v>0</v>
      </c>
      <c r="AL26" s="2">
        <v>0</v>
      </c>
      <c r="AM26">
        <f t="shared" si="6"/>
        <v>0</v>
      </c>
      <c r="AN26" t="s">
        <v>140</v>
      </c>
    </row>
    <row r="27" spans="1:40" x14ac:dyDescent="0.35">
      <c r="A27">
        <v>49</v>
      </c>
      <c r="B27" t="s">
        <v>16</v>
      </c>
      <c r="C27">
        <v>1.61</v>
      </c>
      <c r="D27" s="5">
        <v>7</v>
      </c>
      <c r="E27" t="s">
        <v>52</v>
      </c>
      <c r="F27" t="s">
        <v>55</v>
      </c>
      <c r="G27" t="s">
        <v>166</v>
      </c>
      <c r="H27">
        <v>0</v>
      </c>
      <c r="I27" s="13">
        <v>0.75</v>
      </c>
      <c r="J27">
        <v>2</v>
      </c>
      <c r="K27" s="2">
        <v>3</v>
      </c>
      <c r="L27">
        <v>3</v>
      </c>
      <c r="M27" s="2">
        <f t="shared" si="0"/>
        <v>0</v>
      </c>
      <c r="N27">
        <v>7</v>
      </c>
      <c r="O27">
        <v>6</v>
      </c>
      <c r="P27">
        <f t="shared" si="1"/>
        <v>-1</v>
      </c>
      <c r="Q27">
        <v>1</v>
      </c>
      <c r="R27">
        <v>1</v>
      </c>
      <c r="S27">
        <f t="shared" si="2"/>
        <v>0</v>
      </c>
      <c r="T27">
        <v>1</v>
      </c>
      <c r="U27">
        <v>2</v>
      </c>
      <c r="V27">
        <f t="shared" si="3"/>
        <v>1</v>
      </c>
      <c r="W27">
        <v>1</v>
      </c>
      <c r="X27">
        <v>1</v>
      </c>
      <c r="Y27">
        <f t="shared" si="4"/>
        <v>0</v>
      </c>
      <c r="Z27">
        <f t="shared" si="7"/>
        <v>0</v>
      </c>
      <c r="AA27" s="2">
        <v>0</v>
      </c>
      <c r="AB27" s="5">
        <v>0</v>
      </c>
      <c r="AC27" s="5">
        <v>0</v>
      </c>
      <c r="AD27">
        <f t="shared" si="5"/>
        <v>0</v>
      </c>
      <c r="AE27" s="2">
        <v>0</v>
      </c>
      <c r="AF27" s="2">
        <v>1</v>
      </c>
      <c r="AG27" s="2">
        <v>0</v>
      </c>
      <c r="AH27" s="2">
        <v>1</v>
      </c>
      <c r="AI27" s="2">
        <v>0</v>
      </c>
      <c r="AJ27" s="2">
        <v>0</v>
      </c>
      <c r="AK27" s="2">
        <v>0</v>
      </c>
      <c r="AL27" s="2">
        <v>0</v>
      </c>
      <c r="AM27">
        <f t="shared" si="6"/>
        <v>0</v>
      </c>
      <c r="AN27" s="9" t="s">
        <v>39</v>
      </c>
    </row>
    <row r="28" spans="1:40" x14ac:dyDescent="0.35">
      <c r="A28">
        <v>50</v>
      </c>
      <c r="B28" t="s">
        <v>16</v>
      </c>
      <c r="C28">
        <v>1.61</v>
      </c>
      <c r="D28" s="2">
        <v>145</v>
      </c>
      <c r="E28" t="s">
        <v>52</v>
      </c>
      <c r="F28" t="s">
        <v>55</v>
      </c>
      <c r="G28" t="s">
        <v>166</v>
      </c>
      <c r="H28">
        <v>1</v>
      </c>
      <c r="I28" s="13">
        <v>0.75</v>
      </c>
      <c r="J28">
        <v>1</v>
      </c>
      <c r="K28" s="2">
        <v>5</v>
      </c>
      <c r="L28">
        <v>1</v>
      </c>
      <c r="M28" s="2">
        <f t="shared" si="0"/>
        <v>-4</v>
      </c>
      <c r="N28">
        <v>8</v>
      </c>
      <c r="O28">
        <v>6</v>
      </c>
      <c r="P28">
        <f t="shared" si="1"/>
        <v>-2</v>
      </c>
      <c r="Q28">
        <v>2</v>
      </c>
      <c r="R28">
        <v>2</v>
      </c>
      <c r="S28">
        <f t="shared" si="2"/>
        <v>0</v>
      </c>
      <c r="T28">
        <v>4</v>
      </c>
      <c r="U28">
        <v>2</v>
      </c>
      <c r="V28">
        <f t="shared" si="3"/>
        <v>-2</v>
      </c>
      <c r="W28">
        <v>2</v>
      </c>
      <c r="X28">
        <v>2</v>
      </c>
      <c r="Y28">
        <f t="shared" si="4"/>
        <v>0</v>
      </c>
      <c r="Z28">
        <f t="shared" si="7"/>
        <v>0</v>
      </c>
      <c r="AA28" s="2">
        <v>1</v>
      </c>
      <c r="AB28" s="5">
        <v>1</v>
      </c>
      <c r="AC28" s="5">
        <v>1</v>
      </c>
      <c r="AD28">
        <f t="shared" si="5"/>
        <v>1</v>
      </c>
      <c r="AE28" s="2">
        <v>1</v>
      </c>
      <c r="AF28" s="2">
        <v>1</v>
      </c>
      <c r="AG28" s="2">
        <v>0</v>
      </c>
      <c r="AH28" s="2">
        <v>0</v>
      </c>
      <c r="AI28" s="2">
        <v>0</v>
      </c>
      <c r="AJ28" s="2">
        <v>0</v>
      </c>
      <c r="AK28" s="2">
        <v>0</v>
      </c>
      <c r="AL28" s="2">
        <v>0</v>
      </c>
      <c r="AM28">
        <f t="shared" si="6"/>
        <v>0</v>
      </c>
      <c r="AN28" t="s">
        <v>4</v>
      </c>
    </row>
    <row r="29" spans="1:40" x14ac:dyDescent="0.35">
      <c r="A29">
        <v>51</v>
      </c>
      <c r="B29" t="s">
        <v>16</v>
      </c>
      <c r="C29">
        <v>1.61</v>
      </c>
      <c r="D29" s="2">
        <v>145</v>
      </c>
      <c r="E29" t="s">
        <v>52</v>
      </c>
      <c r="F29" t="s">
        <v>55</v>
      </c>
      <c r="G29" t="s">
        <v>166</v>
      </c>
      <c r="H29">
        <v>0</v>
      </c>
      <c r="I29" s="13">
        <v>1</v>
      </c>
      <c r="J29">
        <v>2</v>
      </c>
      <c r="K29" s="2">
        <v>5</v>
      </c>
      <c r="L29">
        <v>4</v>
      </c>
      <c r="M29" s="2">
        <f t="shared" si="0"/>
        <v>-1</v>
      </c>
      <c r="N29">
        <v>8</v>
      </c>
      <c r="O29">
        <v>5</v>
      </c>
      <c r="P29">
        <f t="shared" si="1"/>
        <v>-3</v>
      </c>
      <c r="Q29">
        <v>2</v>
      </c>
      <c r="R29">
        <v>2</v>
      </c>
      <c r="S29">
        <f t="shared" si="2"/>
        <v>0</v>
      </c>
      <c r="T29">
        <v>2</v>
      </c>
      <c r="U29">
        <v>3</v>
      </c>
      <c r="V29">
        <f t="shared" si="3"/>
        <v>1</v>
      </c>
      <c r="W29">
        <v>1</v>
      </c>
      <c r="X29">
        <v>2</v>
      </c>
      <c r="Y29">
        <f t="shared" si="4"/>
        <v>1</v>
      </c>
      <c r="Z29">
        <f t="shared" si="7"/>
        <v>0</v>
      </c>
      <c r="AA29" s="2">
        <v>0</v>
      </c>
      <c r="AB29" s="5">
        <v>1</v>
      </c>
      <c r="AC29" s="5">
        <v>1</v>
      </c>
      <c r="AD29">
        <f t="shared" si="5"/>
        <v>1</v>
      </c>
      <c r="AE29" s="2">
        <v>1</v>
      </c>
      <c r="AF29" s="2">
        <v>1</v>
      </c>
      <c r="AG29" s="2">
        <v>0</v>
      </c>
      <c r="AH29" s="2">
        <v>1</v>
      </c>
      <c r="AI29" s="2">
        <v>0</v>
      </c>
      <c r="AJ29" s="2">
        <v>0</v>
      </c>
      <c r="AK29" s="2">
        <v>1</v>
      </c>
      <c r="AL29" s="2">
        <v>0</v>
      </c>
      <c r="AM29">
        <f t="shared" si="6"/>
        <v>0</v>
      </c>
      <c r="AN29" t="s">
        <v>136</v>
      </c>
    </row>
    <row r="30" spans="1:40" x14ac:dyDescent="0.35">
      <c r="A30">
        <v>53</v>
      </c>
      <c r="B30" t="s">
        <v>18</v>
      </c>
      <c r="C30">
        <v>-0.04</v>
      </c>
      <c r="D30" s="2">
        <v>60</v>
      </c>
      <c r="E30" t="s">
        <v>160</v>
      </c>
      <c r="F30" t="s">
        <v>55</v>
      </c>
      <c r="G30" t="s">
        <v>166</v>
      </c>
      <c r="H30">
        <v>0</v>
      </c>
      <c r="I30" s="13">
        <v>0.75</v>
      </c>
      <c r="J30">
        <v>1</v>
      </c>
      <c r="K30" s="2">
        <v>8</v>
      </c>
      <c r="L30">
        <v>8</v>
      </c>
      <c r="M30" s="2">
        <f t="shared" si="0"/>
        <v>0</v>
      </c>
      <c r="N30">
        <v>6</v>
      </c>
      <c r="O30">
        <v>6</v>
      </c>
      <c r="P30">
        <f t="shared" si="1"/>
        <v>0</v>
      </c>
      <c r="Q30">
        <v>3</v>
      </c>
      <c r="R30">
        <v>3</v>
      </c>
      <c r="S30">
        <f t="shared" si="2"/>
        <v>0</v>
      </c>
      <c r="T30">
        <v>1</v>
      </c>
      <c r="U30">
        <v>2</v>
      </c>
      <c r="V30">
        <f t="shared" si="3"/>
        <v>1</v>
      </c>
      <c r="W30">
        <v>1</v>
      </c>
      <c r="X30">
        <v>1</v>
      </c>
      <c r="Y30">
        <f t="shared" si="4"/>
        <v>0</v>
      </c>
      <c r="Z30">
        <f t="shared" si="7"/>
        <v>0</v>
      </c>
      <c r="AA30" s="2">
        <v>0</v>
      </c>
      <c r="AB30" s="2">
        <v>1</v>
      </c>
      <c r="AC30" s="2">
        <v>0</v>
      </c>
      <c r="AD30">
        <f t="shared" si="5"/>
        <v>1</v>
      </c>
      <c r="AE30" s="2">
        <v>0</v>
      </c>
      <c r="AF30" s="2">
        <v>1</v>
      </c>
      <c r="AG30" s="2">
        <v>0</v>
      </c>
      <c r="AH30" s="2">
        <v>1</v>
      </c>
      <c r="AI30" s="2">
        <v>0</v>
      </c>
      <c r="AJ30" s="2">
        <v>0</v>
      </c>
      <c r="AK30" s="2">
        <v>1</v>
      </c>
      <c r="AL30" s="2">
        <v>1</v>
      </c>
      <c r="AM30">
        <f t="shared" si="6"/>
        <v>0</v>
      </c>
      <c r="AN30" t="s">
        <v>136</v>
      </c>
    </row>
    <row r="31" spans="1:40" x14ac:dyDescent="0.35">
      <c r="A31">
        <v>54</v>
      </c>
      <c r="B31" t="s">
        <v>18</v>
      </c>
      <c r="C31">
        <v>-0.04</v>
      </c>
      <c r="D31" s="2">
        <v>60</v>
      </c>
      <c r="E31" t="s">
        <v>160</v>
      </c>
      <c r="F31" t="s">
        <v>53</v>
      </c>
      <c r="G31" t="s">
        <v>166</v>
      </c>
      <c r="H31">
        <v>0</v>
      </c>
      <c r="I31" s="13">
        <v>1</v>
      </c>
      <c r="J31">
        <v>1</v>
      </c>
      <c r="K31" s="2">
        <v>5</v>
      </c>
      <c r="L31">
        <v>5</v>
      </c>
      <c r="M31" s="2">
        <f t="shared" si="0"/>
        <v>0</v>
      </c>
      <c r="N31">
        <v>8</v>
      </c>
      <c r="O31">
        <v>4</v>
      </c>
      <c r="P31">
        <f t="shared" si="1"/>
        <v>-4</v>
      </c>
      <c r="Q31">
        <v>2</v>
      </c>
      <c r="R31">
        <v>2</v>
      </c>
      <c r="S31">
        <f t="shared" si="2"/>
        <v>0</v>
      </c>
      <c r="T31">
        <v>3</v>
      </c>
      <c r="U31">
        <v>1</v>
      </c>
      <c r="V31">
        <f t="shared" si="3"/>
        <v>-2</v>
      </c>
      <c r="W31">
        <v>0</v>
      </c>
      <c r="X31">
        <v>0</v>
      </c>
      <c r="Y31">
        <f t="shared" si="4"/>
        <v>0</v>
      </c>
      <c r="Z31">
        <f t="shared" si="7"/>
        <v>1</v>
      </c>
      <c r="AA31" s="2">
        <v>0</v>
      </c>
      <c r="AB31" s="2">
        <v>0</v>
      </c>
      <c r="AC31" s="2">
        <v>0</v>
      </c>
      <c r="AD31">
        <f t="shared" si="5"/>
        <v>0</v>
      </c>
      <c r="AE31" s="2">
        <v>0</v>
      </c>
      <c r="AF31" s="2">
        <v>1</v>
      </c>
      <c r="AG31" s="2">
        <v>0</v>
      </c>
      <c r="AH31" s="2">
        <v>1</v>
      </c>
      <c r="AI31" s="2">
        <v>0</v>
      </c>
      <c r="AJ31" s="2">
        <v>0</v>
      </c>
      <c r="AK31" s="2">
        <v>1</v>
      </c>
      <c r="AL31" s="2">
        <v>0</v>
      </c>
      <c r="AM31">
        <f t="shared" si="6"/>
        <v>0</v>
      </c>
      <c r="AN31" t="s">
        <v>6</v>
      </c>
    </row>
    <row r="32" spans="1:40" x14ac:dyDescent="0.35">
      <c r="A32">
        <v>55</v>
      </c>
      <c r="B32" t="s">
        <v>16</v>
      </c>
      <c r="C32">
        <v>1.61</v>
      </c>
      <c r="D32" s="2">
        <v>6</v>
      </c>
      <c r="E32" t="s">
        <v>52</v>
      </c>
      <c r="F32" t="s">
        <v>55</v>
      </c>
      <c r="G32" t="s">
        <v>166</v>
      </c>
      <c r="H32">
        <v>0</v>
      </c>
      <c r="I32" s="13">
        <v>0.25</v>
      </c>
      <c r="J32">
        <v>2</v>
      </c>
      <c r="K32" s="2">
        <v>11</v>
      </c>
      <c r="L32">
        <v>12</v>
      </c>
      <c r="M32" s="2">
        <f t="shared" si="0"/>
        <v>1</v>
      </c>
      <c r="N32">
        <v>7</v>
      </c>
      <c r="O32">
        <v>7</v>
      </c>
      <c r="P32">
        <f t="shared" si="1"/>
        <v>0</v>
      </c>
      <c r="Q32">
        <v>3</v>
      </c>
      <c r="R32">
        <v>3</v>
      </c>
      <c r="S32">
        <f t="shared" si="2"/>
        <v>0</v>
      </c>
      <c r="T32">
        <v>2</v>
      </c>
      <c r="U32">
        <v>2</v>
      </c>
      <c r="V32">
        <f t="shared" si="3"/>
        <v>0</v>
      </c>
      <c r="W32">
        <v>1</v>
      </c>
      <c r="X32">
        <v>0</v>
      </c>
      <c r="Y32">
        <f t="shared" si="4"/>
        <v>-1</v>
      </c>
      <c r="Z32">
        <f t="shared" si="7"/>
        <v>1</v>
      </c>
      <c r="AA32" s="2">
        <v>0</v>
      </c>
      <c r="AB32" s="5">
        <v>0</v>
      </c>
      <c r="AC32" s="5">
        <v>0</v>
      </c>
      <c r="AD32">
        <f t="shared" si="5"/>
        <v>0</v>
      </c>
      <c r="AE32" s="2">
        <v>0</v>
      </c>
      <c r="AF32" s="2">
        <v>0</v>
      </c>
      <c r="AG32" s="2">
        <v>0</v>
      </c>
      <c r="AH32" s="2">
        <v>0</v>
      </c>
      <c r="AI32" s="2">
        <v>0</v>
      </c>
      <c r="AJ32" s="2">
        <v>0</v>
      </c>
      <c r="AK32" s="2">
        <v>1</v>
      </c>
      <c r="AL32" s="2">
        <v>0</v>
      </c>
      <c r="AM32">
        <f t="shared" si="6"/>
        <v>0</v>
      </c>
      <c r="AN32" t="s">
        <v>140</v>
      </c>
    </row>
    <row r="33" spans="1:40" x14ac:dyDescent="0.35">
      <c r="A33">
        <v>56</v>
      </c>
      <c r="B33" t="s">
        <v>16</v>
      </c>
      <c r="C33">
        <v>1.61</v>
      </c>
      <c r="D33" s="2">
        <v>39</v>
      </c>
      <c r="E33" t="s">
        <v>52</v>
      </c>
      <c r="F33" t="s">
        <v>54</v>
      </c>
      <c r="G33" t="s">
        <v>167</v>
      </c>
      <c r="H33">
        <v>1</v>
      </c>
      <c r="I33" s="13">
        <v>0.75</v>
      </c>
      <c r="J33">
        <v>1</v>
      </c>
      <c r="K33" s="2">
        <v>1</v>
      </c>
      <c r="L33">
        <v>1</v>
      </c>
      <c r="M33" s="2">
        <f t="shared" si="0"/>
        <v>0</v>
      </c>
      <c r="N33">
        <v>8</v>
      </c>
      <c r="O33">
        <v>4</v>
      </c>
      <c r="P33">
        <f t="shared" si="1"/>
        <v>-4</v>
      </c>
      <c r="Q33">
        <v>2</v>
      </c>
      <c r="R33">
        <v>2</v>
      </c>
      <c r="S33">
        <f t="shared" si="2"/>
        <v>0</v>
      </c>
      <c r="T33">
        <v>3</v>
      </c>
      <c r="U33">
        <v>2</v>
      </c>
      <c r="V33">
        <f t="shared" si="3"/>
        <v>-1</v>
      </c>
      <c r="W33">
        <v>0</v>
      </c>
      <c r="X33">
        <v>0</v>
      </c>
      <c r="Y33">
        <f t="shared" si="4"/>
        <v>0</v>
      </c>
      <c r="Z33">
        <f t="shared" si="7"/>
        <v>1</v>
      </c>
      <c r="AA33" s="2">
        <v>0</v>
      </c>
      <c r="AB33" s="5">
        <v>1</v>
      </c>
      <c r="AC33" s="5">
        <v>0</v>
      </c>
      <c r="AD33">
        <f t="shared" si="5"/>
        <v>1</v>
      </c>
      <c r="AE33" s="2">
        <v>0</v>
      </c>
      <c r="AF33" s="2">
        <v>0</v>
      </c>
      <c r="AG33" s="2">
        <v>0</v>
      </c>
      <c r="AH33" s="2">
        <v>1</v>
      </c>
      <c r="AI33" s="2">
        <v>0</v>
      </c>
      <c r="AJ33" s="2">
        <v>0</v>
      </c>
      <c r="AK33" s="2">
        <v>0</v>
      </c>
      <c r="AL33" s="2">
        <v>0</v>
      </c>
      <c r="AM33">
        <f t="shared" si="6"/>
        <v>0</v>
      </c>
      <c r="AN33" t="s">
        <v>136</v>
      </c>
    </row>
    <row r="34" spans="1:40" x14ac:dyDescent="0.35">
      <c r="A34">
        <v>57</v>
      </c>
      <c r="B34" t="s">
        <v>16</v>
      </c>
      <c r="C34">
        <v>1.61</v>
      </c>
      <c r="D34" s="2">
        <v>145</v>
      </c>
      <c r="E34" t="s">
        <v>52</v>
      </c>
      <c r="F34" t="s">
        <v>55</v>
      </c>
      <c r="G34" t="s">
        <v>167</v>
      </c>
      <c r="H34">
        <v>0</v>
      </c>
      <c r="I34" s="13">
        <v>0.25</v>
      </c>
      <c r="J34">
        <v>2</v>
      </c>
      <c r="K34" s="2">
        <v>4</v>
      </c>
      <c r="L34">
        <v>4</v>
      </c>
      <c r="M34" s="2">
        <f t="shared" si="0"/>
        <v>0</v>
      </c>
      <c r="N34">
        <v>8</v>
      </c>
      <c r="O34">
        <v>2</v>
      </c>
      <c r="P34">
        <f t="shared" si="1"/>
        <v>-6</v>
      </c>
      <c r="Q34">
        <v>2</v>
      </c>
      <c r="R34">
        <v>2</v>
      </c>
      <c r="S34">
        <f t="shared" si="2"/>
        <v>0</v>
      </c>
      <c r="T34">
        <v>4</v>
      </c>
      <c r="U34">
        <v>2</v>
      </c>
      <c r="V34">
        <f t="shared" si="3"/>
        <v>-2</v>
      </c>
      <c r="W34">
        <v>1</v>
      </c>
      <c r="X34">
        <v>1</v>
      </c>
      <c r="Y34">
        <f t="shared" si="4"/>
        <v>0</v>
      </c>
      <c r="Z34">
        <f t="shared" si="7"/>
        <v>0</v>
      </c>
      <c r="AA34" s="2">
        <v>0</v>
      </c>
      <c r="AB34" s="5">
        <v>1</v>
      </c>
      <c r="AC34" s="5">
        <v>1</v>
      </c>
      <c r="AD34">
        <f t="shared" si="5"/>
        <v>1</v>
      </c>
      <c r="AE34" s="2">
        <v>1</v>
      </c>
      <c r="AF34" s="2">
        <v>0</v>
      </c>
      <c r="AG34" s="2">
        <v>0</v>
      </c>
      <c r="AH34" s="2">
        <v>0</v>
      </c>
      <c r="AI34" s="2">
        <v>0</v>
      </c>
      <c r="AJ34" s="2">
        <v>0</v>
      </c>
      <c r="AK34" s="2">
        <v>1</v>
      </c>
      <c r="AL34" s="2">
        <v>1</v>
      </c>
      <c r="AM34">
        <f t="shared" si="6"/>
        <v>0</v>
      </c>
      <c r="AN34" t="s">
        <v>137</v>
      </c>
    </row>
    <row r="35" spans="1:40" x14ac:dyDescent="0.35">
      <c r="A35">
        <v>60</v>
      </c>
      <c r="B35" t="s">
        <v>16</v>
      </c>
      <c r="C35">
        <v>1.61</v>
      </c>
      <c r="D35" s="2">
        <v>7</v>
      </c>
      <c r="E35" t="s">
        <v>52</v>
      </c>
      <c r="F35" t="s">
        <v>55</v>
      </c>
      <c r="G35" t="s">
        <v>166</v>
      </c>
      <c r="H35">
        <v>1</v>
      </c>
      <c r="I35" s="13">
        <v>1</v>
      </c>
      <c r="J35">
        <v>1</v>
      </c>
      <c r="K35" s="2">
        <v>8</v>
      </c>
      <c r="L35">
        <v>8</v>
      </c>
      <c r="M35" s="2">
        <f t="shared" si="0"/>
        <v>0</v>
      </c>
      <c r="N35">
        <v>1</v>
      </c>
      <c r="O35">
        <v>1</v>
      </c>
      <c r="P35">
        <f t="shared" si="1"/>
        <v>0</v>
      </c>
      <c r="Q35">
        <v>3</v>
      </c>
      <c r="R35">
        <v>3</v>
      </c>
      <c r="S35">
        <f t="shared" si="2"/>
        <v>0</v>
      </c>
      <c r="T35">
        <v>4</v>
      </c>
      <c r="U35">
        <v>4</v>
      </c>
      <c r="V35">
        <f t="shared" si="3"/>
        <v>0</v>
      </c>
      <c r="W35">
        <v>2</v>
      </c>
      <c r="X35">
        <v>2</v>
      </c>
      <c r="Y35">
        <f t="shared" si="4"/>
        <v>0</v>
      </c>
      <c r="Z35">
        <f t="shared" si="7"/>
        <v>0</v>
      </c>
      <c r="AA35" s="2">
        <v>0</v>
      </c>
      <c r="AB35" s="5">
        <v>1</v>
      </c>
      <c r="AC35" s="5">
        <v>0</v>
      </c>
      <c r="AD35">
        <f t="shared" si="5"/>
        <v>1</v>
      </c>
      <c r="AE35" s="2">
        <v>0</v>
      </c>
      <c r="AF35" s="2">
        <v>0</v>
      </c>
      <c r="AG35" s="2">
        <v>0</v>
      </c>
      <c r="AH35" s="2">
        <v>0</v>
      </c>
      <c r="AI35" s="5">
        <v>1</v>
      </c>
      <c r="AJ35" s="5">
        <v>1</v>
      </c>
      <c r="AK35" s="2">
        <v>0</v>
      </c>
      <c r="AL35" s="2">
        <v>0</v>
      </c>
      <c r="AM35">
        <f t="shared" si="6"/>
        <v>0</v>
      </c>
      <c r="AN35" t="s">
        <v>140</v>
      </c>
    </row>
    <row r="36" spans="1:40" x14ac:dyDescent="0.35">
      <c r="A36">
        <v>61</v>
      </c>
      <c r="B36" t="s">
        <v>165</v>
      </c>
      <c r="C36">
        <v>1.47</v>
      </c>
      <c r="D36" s="2">
        <v>38</v>
      </c>
      <c r="E36" t="s">
        <v>162</v>
      </c>
      <c r="F36" t="s">
        <v>53</v>
      </c>
      <c r="G36" t="s">
        <v>166</v>
      </c>
      <c r="H36">
        <v>0</v>
      </c>
      <c r="I36" s="13">
        <v>1</v>
      </c>
      <c r="J36">
        <v>2</v>
      </c>
      <c r="K36" s="2">
        <v>3</v>
      </c>
      <c r="L36">
        <v>3</v>
      </c>
      <c r="M36" s="2">
        <f t="shared" si="0"/>
        <v>0</v>
      </c>
      <c r="N36">
        <v>5</v>
      </c>
      <c r="O36">
        <v>6</v>
      </c>
      <c r="P36">
        <f t="shared" si="1"/>
        <v>1</v>
      </c>
      <c r="Q36">
        <v>2</v>
      </c>
      <c r="R36">
        <v>2</v>
      </c>
      <c r="S36">
        <f t="shared" si="2"/>
        <v>0</v>
      </c>
      <c r="T36">
        <v>3</v>
      </c>
      <c r="U36">
        <v>3</v>
      </c>
      <c r="V36">
        <f t="shared" si="3"/>
        <v>0</v>
      </c>
      <c r="W36">
        <v>1</v>
      </c>
      <c r="X36">
        <v>1</v>
      </c>
      <c r="Y36">
        <f t="shared" si="4"/>
        <v>0</v>
      </c>
      <c r="Z36">
        <f t="shared" si="7"/>
        <v>0</v>
      </c>
      <c r="AA36" s="2">
        <v>0</v>
      </c>
      <c r="AB36" s="2">
        <v>0</v>
      </c>
      <c r="AC36" s="2">
        <v>0</v>
      </c>
      <c r="AD36">
        <f t="shared" si="5"/>
        <v>0</v>
      </c>
      <c r="AE36" s="2">
        <v>0</v>
      </c>
      <c r="AF36" s="2">
        <v>0</v>
      </c>
      <c r="AG36" s="2">
        <v>0</v>
      </c>
      <c r="AH36" s="2">
        <v>0</v>
      </c>
      <c r="AI36" s="2">
        <v>0</v>
      </c>
      <c r="AJ36" s="2">
        <v>0</v>
      </c>
      <c r="AK36" s="2">
        <v>0</v>
      </c>
      <c r="AL36" s="2">
        <v>0</v>
      </c>
      <c r="AM36">
        <f t="shared" si="6"/>
        <v>1</v>
      </c>
      <c r="AN36" t="s">
        <v>140</v>
      </c>
    </row>
    <row r="37" spans="1:40" x14ac:dyDescent="0.35">
      <c r="A37">
        <v>63</v>
      </c>
      <c r="B37" t="s">
        <v>18</v>
      </c>
      <c r="C37">
        <v>-0.04</v>
      </c>
      <c r="D37" s="2">
        <v>87</v>
      </c>
      <c r="E37" t="s">
        <v>160</v>
      </c>
      <c r="F37" t="s">
        <v>53</v>
      </c>
      <c r="G37" t="s">
        <v>166</v>
      </c>
      <c r="H37">
        <v>0</v>
      </c>
      <c r="I37" s="13">
        <v>0.75</v>
      </c>
      <c r="J37">
        <v>1</v>
      </c>
      <c r="K37" s="2">
        <v>4</v>
      </c>
      <c r="L37">
        <v>4</v>
      </c>
      <c r="M37" s="2">
        <f t="shared" si="0"/>
        <v>0</v>
      </c>
      <c r="N37">
        <v>3</v>
      </c>
      <c r="O37">
        <v>2</v>
      </c>
      <c r="P37">
        <f t="shared" si="1"/>
        <v>-1</v>
      </c>
      <c r="Q37">
        <v>2</v>
      </c>
      <c r="R37">
        <v>1</v>
      </c>
      <c r="S37">
        <f t="shared" si="2"/>
        <v>-1</v>
      </c>
      <c r="T37">
        <v>1</v>
      </c>
      <c r="U37">
        <v>2</v>
      </c>
      <c r="V37">
        <f t="shared" si="3"/>
        <v>1</v>
      </c>
      <c r="W37">
        <v>1</v>
      </c>
      <c r="X37">
        <v>1</v>
      </c>
      <c r="Y37">
        <f t="shared" si="4"/>
        <v>0</v>
      </c>
      <c r="Z37">
        <f t="shared" si="7"/>
        <v>0</v>
      </c>
      <c r="AA37" s="2">
        <v>0</v>
      </c>
      <c r="AB37" s="2">
        <v>1</v>
      </c>
      <c r="AC37" s="2">
        <v>0</v>
      </c>
      <c r="AD37">
        <f t="shared" si="5"/>
        <v>1</v>
      </c>
      <c r="AE37" s="2">
        <v>0</v>
      </c>
      <c r="AF37" s="2">
        <v>1</v>
      </c>
      <c r="AG37" s="2">
        <v>0</v>
      </c>
      <c r="AH37" s="2">
        <v>1</v>
      </c>
      <c r="AI37" s="2">
        <v>0</v>
      </c>
      <c r="AJ37" s="2">
        <v>0</v>
      </c>
      <c r="AK37" s="2">
        <v>1</v>
      </c>
      <c r="AL37" s="2">
        <v>0</v>
      </c>
      <c r="AM37">
        <f t="shared" si="6"/>
        <v>0</v>
      </c>
      <c r="AN37" t="s">
        <v>136</v>
      </c>
    </row>
    <row r="38" spans="1:40" x14ac:dyDescent="0.35">
      <c r="A38">
        <v>64</v>
      </c>
      <c r="B38" t="s">
        <v>16</v>
      </c>
      <c r="C38">
        <v>1.61</v>
      </c>
      <c r="D38" s="2">
        <v>7</v>
      </c>
      <c r="E38" t="s">
        <v>52</v>
      </c>
      <c r="F38" t="s">
        <v>56</v>
      </c>
      <c r="G38" t="s">
        <v>166</v>
      </c>
      <c r="H38">
        <v>0</v>
      </c>
      <c r="I38" s="13">
        <v>0.25</v>
      </c>
      <c r="J38">
        <v>2</v>
      </c>
      <c r="K38" s="2">
        <v>9</v>
      </c>
      <c r="L38">
        <v>9</v>
      </c>
      <c r="M38" s="2">
        <f t="shared" si="0"/>
        <v>0</v>
      </c>
      <c r="N38">
        <v>7</v>
      </c>
      <c r="O38">
        <v>7</v>
      </c>
      <c r="P38">
        <f t="shared" si="1"/>
        <v>0</v>
      </c>
      <c r="Q38">
        <v>3</v>
      </c>
      <c r="R38">
        <v>3</v>
      </c>
      <c r="S38">
        <f t="shared" si="2"/>
        <v>0</v>
      </c>
      <c r="T38">
        <v>3</v>
      </c>
      <c r="U38">
        <v>1</v>
      </c>
      <c r="V38">
        <f t="shared" si="3"/>
        <v>-2</v>
      </c>
      <c r="W38">
        <v>1</v>
      </c>
      <c r="X38">
        <v>1</v>
      </c>
      <c r="Y38">
        <f t="shared" si="4"/>
        <v>0</v>
      </c>
      <c r="Z38">
        <f t="shared" si="7"/>
        <v>0</v>
      </c>
      <c r="AA38" s="2">
        <v>0</v>
      </c>
      <c r="AB38" s="5">
        <v>0</v>
      </c>
      <c r="AC38" s="5">
        <v>0</v>
      </c>
      <c r="AD38">
        <f t="shared" si="5"/>
        <v>0</v>
      </c>
      <c r="AE38" s="2">
        <v>0</v>
      </c>
      <c r="AF38" s="2">
        <v>0</v>
      </c>
      <c r="AG38" s="2">
        <v>0</v>
      </c>
      <c r="AH38" s="2">
        <v>0</v>
      </c>
      <c r="AI38" s="2">
        <v>0</v>
      </c>
      <c r="AJ38" s="2">
        <v>0</v>
      </c>
      <c r="AK38" s="2">
        <v>0</v>
      </c>
      <c r="AL38" s="2">
        <v>0</v>
      </c>
      <c r="AM38">
        <f t="shared" si="6"/>
        <v>1</v>
      </c>
      <c r="AN38" t="s">
        <v>140</v>
      </c>
    </row>
    <row r="39" spans="1:40" x14ac:dyDescent="0.35">
      <c r="A39">
        <v>65</v>
      </c>
      <c r="B39" t="s">
        <v>164</v>
      </c>
      <c r="C39">
        <v>0.44</v>
      </c>
      <c r="D39" s="2">
        <v>5</v>
      </c>
      <c r="E39" t="s">
        <v>162</v>
      </c>
      <c r="F39" t="s">
        <v>56</v>
      </c>
      <c r="G39" t="s">
        <v>166</v>
      </c>
      <c r="H39">
        <v>0</v>
      </c>
      <c r="I39" s="13">
        <v>0.25</v>
      </c>
      <c r="J39">
        <v>2</v>
      </c>
      <c r="K39" s="2">
        <v>4</v>
      </c>
      <c r="L39">
        <v>5</v>
      </c>
      <c r="M39" s="2">
        <f t="shared" si="0"/>
        <v>1</v>
      </c>
      <c r="N39">
        <v>7</v>
      </c>
      <c r="O39">
        <v>6</v>
      </c>
      <c r="P39">
        <f t="shared" si="1"/>
        <v>-1</v>
      </c>
      <c r="Q39">
        <v>1</v>
      </c>
      <c r="R39">
        <v>1</v>
      </c>
      <c r="S39">
        <f t="shared" si="2"/>
        <v>0</v>
      </c>
      <c r="T39">
        <v>2</v>
      </c>
      <c r="U39">
        <v>2</v>
      </c>
      <c r="V39">
        <f t="shared" si="3"/>
        <v>0</v>
      </c>
      <c r="W39">
        <v>1</v>
      </c>
      <c r="X39">
        <v>2</v>
      </c>
      <c r="Y39">
        <f t="shared" si="4"/>
        <v>1</v>
      </c>
      <c r="Z39">
        <f t="shared" si="7"/>
        <v>0</v>
      </c>
      <c r="AA39" s="2">
        <v>0</v>
      </c>
      <c r="AB39" s="2">
        <v>1</v>
      </c>
      <c r="AC39" s="2">
        <v>1</v>
      </c>
      <c r="AD39">
        <f t="shared" si="5"/>
        <v>1</v>
      </c>
      <c r="AE39" s="2">
        <v>0</v>
      </c>
      <c r="AF39" s="2">
        <v>1</v>
      </c>
      <c r="AG39" s="2">
        <v>0</v>
      </c>
      <c r="AH39" s="2">
        <v>1</v>
      </c>
      <c r="AI39" s="2">
        <v>1</v>
      </c>
      <c r="AJ39" s="2">
        <v>0</v>
      </c>
      <c r="AK39" s="2">
        <v>1</v>
      </c>
      <c r="AL39" s="2">
        <v>0</v>
      </c>
      <c r="AM39">
        <f t="shared" si="6"/>
        <v>0</v>
      </c>
      <c r="AN39" t="s">
        <v>137</v>
      </c>
    </row>
    <row r="40" spans="1:40" x14ac:dyDescent="0.35">
      <c r="A40">
        <v>66</v>
      </c>
      <c r="B40" t="s">
        <v>18</v>
      </c>
      <c r="C40">
        <v>-0.04</v>
      </c>
      <c r="D40" s="2">
        <v>40</v>
      </c>
      <c r="E40" t="s">
        <v>162</v>
      </c>
      <c r="F40" t="s">
        <v>53</v>
      </c>
      <c r="G40" t="s">
        <v>166</v>
      </c>
      <c r="H40">
        <v>0</v>
      </c>
      <c r="I40" s="13">
        <v>0.25</v>
      </c>
      <c r="J40">
        <v>1</v>
      </c>
      <c r="K40" s="2">
        <v>8</v>
      </c>
      <c r="L40">
        <v>10</v>
      </c>
      <c r="M40" s="2">
        <f t="shared" si="0"/>
        <v>2</v>
      </c>
      <c r="N40">
        <v>8</v>
      </c>
      <c r="O40">
        <v>8</v>
      </c>
      <c r="P40">
        <f t="shared" si="1"/>
        <v>0</v>
      </c>
      <c r="Q40">
        <v>2</v>
      </c>
      <c r="R40">
        <v>2</v>
      </c>
      <c r="S40">
        <f t="shared" si="2"/>
        <v>0</v>
      </c>
      <c r="T40">
        <v>5</v>
      </c>
      <c r="U40">
        <v>5</v>
      </c>
      <c r="V40">
        <f t="shared" si="3"/>
        <v>0</v>
      </c>
      <c r="W40">
        <v>0</v>
      </c>
      <c r="X40">
        <v>0</v>
      </c>
      <c r="Y40">
        <f t="shared" si="4"/>
        <v>0</v>
      </c>
      <c r="Z40">
        <f t="shared" si="7"/>
        <v>1</v>
      </c>
      <c r="AA40" s="2">
        <v>0</v>
      </c>
      <c r="AB40" s="2">
        <v>0</v>
      </c>
      <c r="AC40" s="2">
        <v>0</v>
      </c>
      <c r="AD40">
        <f t="shared" si="5"/>
        <v>0</v>
      </c>
      <c r="AE40" s="2">
        <v>0</v>
      </c>
      <c r="AF40" s="2">
        <v>1</v>
      </c>
      <c r="AG40" s="2">
        <v>0</v>
      </c>
      <c r="AH40" s="2">
        <v>1</v>
      </c>
      <c r="AI40" s="2">
        <v>0</v>
      </c>
      <c r="AJ40" s="2">
        <v>1</v>
      </c>
      <c r="AK40" s="2">
        <v>0</v>
      </c>
      <c r="AL40" s="2">
        <v>0</v>
      </c>
      <c r="AM40">
        <f t="shared" si="6"/>
        <v>0</v>
      </c>
      <c r="AN40" t="s">
        <v>140</v>
      </c>
    </row>
    <row r="41" spans="1:40" x14ac:dyDescent="0.35">
      <c r="A41">
        <v>67</v>
      </c>
      <c r="B41" t="s">
        <v>164</v>
      </c>
      <c r="C41">
        <v>0.44</v>
      </c>
      <c r="D41" s="2">
        <v>11</v>
      </c>
      <c r="E41" t="s">
        <v>61</v>
      </c>
      <c r="F41" t="s">
        <v>56</v>
      </c>
      <c r="G41" t="s">
        <v>166</v>
      </c>
      <c r="H41">
        <v>0</v>
      </c>
      <c r="I41" s="13">
        <v>0.25</v>
      </c>
      <c r="J41">
        <v>2</v>
      </c>
      <c r="K41" s="2">
        <v>5</v>
      </c>
      <c r="L41">
        <v>5</v>
      </c>
      <c r="M41" s="2">
        <f t="shared" si="0"/>
        <v>0</v>
      </c>
      <c r="N41">
        <v>1</v>
      </c>
      <c r="O41">
        <v>1</v>
      </c>
      <c r="P41">
        <f t="shared" si="1"/>
        <v>0</v>
      </c>
      <c r="Q41">
        <v>1</v>
      </c>
      <c r="R41">
        <v>1</v>
      </c>
      <c r="S41">
        <f t="shared" si="2"/>
        <v>0</v>
      </c>
      <c r="T41">
        <v>3</v>
      </c>
      <c r="U41">
        <v>1</v>
      </c>
      <c r="V41">
        <f t="shared" si="3"/>
        <v>-2</v>
      </c>
      <c r="W41">
        <v>0</v>
      </c>
      <c r="X41">
        <v>0</v>
      </c>
      <c r="Y41">
        <f t="shared" si="4"/>
        <v>0</v>
      </c>
      <c r="Z41">
        <f t="shared" si="7"/>
        <v>1</v>
      </c>
      <c r="AA41" s="2">
        <v>0</v>
      </c>
      <c r="AB41" s="2">
        <v>1</v>
      </c>
      <c r="AC41" s="2">
        <v>1</v>
      </c>
      <c r="AD41">
        <f t="shared" si="5"/>
        <v>1</v>
      </c>
      <c r="AE41" s="2">
        <v>0</v>
      </c>
      <c r="AF41" s="2">
        <v>1</v>
      </c>
      <c r="AG41" s="2">
        <v>0</v>
      </c>
      <c r="AH41" s="2">
        <v>0</v>
      </c>
      <c r="AI41" s="2">
        <v>0</v>
      </c>
      <c r="AJ41" s="2">
        <v>0</v>
      </c>
      <c r="AK41" s="2">
        <v>0</v>
      </c>
      <c r="AL41" s="2">
        <v>0</v>
      </c>
      <c r="AM41">
        <f t="shared" si="6"/>
        <v>0</v>
      </c>
      <c r="AN41" t="s">
        <v>137</v>
      </c>
    </row>
    <row r="42" spans="1:40" x14ac:dyDescent="0.35">
      <c r="A42">
        <v>69</v>
      </c>
      <c r="B42" t="s">
        <v>16</v>
      </c>
      <c r="C42">
        <v>1.61</v>
      </c>
      <c r="D42" s="2">
        <v>7</v>
      </c>
      <c r="E42" t="s">
        <v>52</v>
      </c>
      <c r="F42" t="s">
        <v>56</v>
      </c>
      <c r="G42" t="s">
        <v>166</v>
      </c>
      <c r="H42">
        <v>1</v>
      </c>
      <c r="I42" s="13">
        <v>1</v>
      </c>
      <c r="J42">
        <v>1</v>
      </c>
      <c r="K42" s="2">
        <v>16</v>
      </c>
      <c r="L42">
        <v>15</v>
      </c>
      <c r="M42" s="2">
        <f t="shared" si="0"/>
        <v>-1</v>
      </c>
      <c r="N42">
        <v>5</v>
      </c>
      <c r="O42">
        <v>1</v>
      </c>
      <c r="P42">
        <f t="shared" si="1"/>
        <v>-4</v>
      </c>
      <c r="Q42">
        <v>3</v>
      </c>
      <c r="R42">
        <v>3</v>
      </c>
      <c r="S42">
        <f t="shared" si="2"/>
        <v>0</v>
      </c>
      <c r="T42">
        <v>3</v>
      </c>
      <c r="U42">
        <v>3</v>
      </c>
      <c r="V42">
        <f t="shared" si="3"/>
        <v>0</v>
      </c>
      <c r="W42">
        <v>1</v>
      </c>
      <c r="X42">
        <v>2</v>
      </c>
      <c r="Y42">
        <f t="shared" si="4"/>
        <v>1</v>
      </c>
      <c r="Z42">
        <f t="shared" si="7"/>
        <v>0</v>
      </c>
      <c r="AA42" s="2">
        <v>0</v>
      </c>
      <c r="AB42" s="5">
        <v>1</v>
      </c>
      <c r="AC42" s="5">
        <v>1</v>
      </c>
      <c r="AD42">
        <f t="shared" si="5"/>
        <v>1</v>
      </c>
      <c r="AE42" s="2">
        <v>1</v>
      </c>
      <c r="AF42" s="2">
        <v>1</v>
      </c>
      <c r="AG42" s="2">
        <v>0</v>
      </c>
      <c r="AH42" s="2">
        <v>1</v>
      </c>
      <c r="AI42" s="5">
        <v>1</v>
      </c>
      <c r="AJ42" s="5">
        <v>0</v>
      </c>
      <c r="AK42" s="2">
        <v>1</v>
      </c>
      <c r="AL42" s="2">
        <v>0</v>
      </c>
      <c r="AM42">
        <f t="shared" si="6"/>
        <v>0</v>
      </c>
      <c r="AN42" t="s">
        <v>137</v>
      </c>
    </row>
    <row r="43" spans="1:40" x14ac:dyDescent="0.35">
      <c r="A43">
        <v>70</v>
      </c>
      <c r="B43" t="s">
        <v>16</v>
      </c>
      <c r="C43">
        <v>1.61</v>
      </c>
      <c r="D43" s="2">
        <v>7</v>
      </c>
      <c r="E43" t="s">
        <v>52</v>
      </c>
      <c r="F43" t="s">
        <v>55</v>
      </c>
      <c r="G43" t="s">
        <v>167</v>
      </c>
      <c r="H43">
        <v>0</v>
      </c>
      <c r="I43" s="13">
        <v>0.5</v>
      </c>
      <c r="J43">
        <v>2</v>
      </c>
      <c r="K43" s="2">
        <v>8</v>
      </c>
      <c r="L43">
        <v>8</v>
      </c>
      <c r="M43" s="2">
        <f t="shared" si="0"/>
        <v>0</v>
      </c>
      <c r="N43">
        <v>8</v>
      </c>
      <c r="O43">
        <v>8</v>
      </c>
      <c r="P43">
        <f t="shared" si="1"/>
        <v>0</v>
      </c>
      <c r="Q43">
        <v>3</v>
      </c>
      <c r="R43">
        <v>3</v>
      </c>
      <c r="S43">
        <f t="shared" si="2"/>
        <v>0</v>
      </c>
      <c r="T43">
        <v>3</v>
      </c>
      <c r="U43">
        <v>3</v>
      </c>
      <c r="V43">
        <f t="shared" si="3"/>
        <v>0</v>
      </c>
      <c r="W43">
        <v>1</v>
      </c>
      <c r="X43">
        <v>1</v>
      </c>
      <c r="Y43">
        <f t="shared" si="4"/>
        <v>0</v>
      </c>
      <c r="Z43">
        <f t="shared" si="7"/>
        <v>0</v>
      </c>
      <c r="AA43" s="2">
        <v>0</v>
      </c>
      <c r="AB43" s="5">
        <v>1</v>
      </c>
      <c r="AC43" s="5">
        <v>1</v>
      </c>
      <c r="AD43">
        <f t="shared" si="5"/>
        <v>1</v>
      </c>
      <c r="AE43" s="2">
        <v>1</v>
      </c>
      <c r="AF43" s="2">
        <v>0</v>
      </c>
      <c r="AG43" s="2">
        <v>0</v>
      </c>
      <c r="AH43" s="2">
        <v>1</v>
      </c>
      <c r="AI43" s="2">
        <v>0</v>
      </c>
      <c r="AJ43" s="2">
        <v>0</v>
      </c>
      <c r="AK43" s="2">
        <v>1</v>
      </c>
      <c r="AL43" s="2">
        <v>1</v>
      </c>
      <c r="AM43">
        <f t="shared" si="6"/>
        <v>0</v>
      </c>
      <c r="AN43" t="s">
        <v>138</v>
      </c>
    </row>
    <row r="44" spans="1:40" x14ac:dyDescent="0.35">
      <c r="A44">
        <v>71</v>
      </c>
      <c r="B44" t="s">
        <v>16</v>
      </c>
      <c r="C44">
        <v>1.61</v>
      </c>
      <c r="D44" s="2">
        <v>9</v>
      </c>
      <c r="E44" t="s">
        <v>52</v>
      </c>
      <c r="F44" t="s">
        <v>54</v>
      </c>
      <c r="G44" t="s">
        <v>166</v>
      </c>
      <c r="H44">
        <v>1</v>
      </c>
      <c r="I44" s="13">
        <v>1</v>
      </c>
      <c r="J44">
        <v>1</v>
      </c>
      <c r="K44" s="2">
        <v>4</v>
      </c>
      <c r="L44">
        <v>3</v>
      </c>
      <c r="M44" s="2">
        <f t="shared" si="0"/>
        <v>-1</v>
      </c>
      <c r="N44">
        <v>9</v>
      </c>
      <c r="O44">
        <v>1</v>
      </c>
      <c r="P44">
        <f t="shared" si="1"/>
        <v>-8</v>
      </c>
      <c r="Q44">
        <v>2</v>
      </c>
      <c r="R44">
        <v>2</v>
      </c>
      <c r="S44">
        <f t="shared" si="2"/>
        <v>0</v>
      </c>
      <c r="T44">
        <v>2</v>
      </c>
      <c r="U44">
        <v>3</v>
      </c>
      <c r="V44">
        <f t="shared" si="3"/>
        <v>1</v>
      </c>
      <c r="W44">
        <v>1</v>
      </c>
      <c r="X44">
        <v>2</v>
      </c>
      <c r="Y44">
        <f t="shared" si="4"/>
        <v>1</v>
      </c>
      <c r="Z44">
        <f t="shared" si="7"/>
        <v>0</v>
      </c>
      <c r="AA44" s="2">
        <v>0</v>
      </c>
      <c r="AB44" s="5">
        <v>0</v>
      </c>
      <c r="AC44" s="5">
        <v>0</v>
      </c>
      <c r="AD44">
        <f t="shared" si="5"/>
        <v>0</v>
      </c>
      <c r="AE44" s="2">
        <v>0</v>
      </c>
      <c r="AF44" s="2">
        <v>0</v>
      </c>
      <c r="AG44" s="2">
        <v>0</v>
      </c>
      <c r="AH44" s="2">
        <v>1</v>
      </c>
      <c r="AI44" s="5">
        <v>1</v>
      </c>
      <c r="AJ44" s="5">
        <v>0</v>
      </c>
      <c r="AK44" s="2">
        <v>1</v>
      </c>
      <c r="AL44" s="2">
        <v>0</v>
      </c>
      <c r="AM44">
        <f t="shared" si="6"/>
        <v>0</v>
      </c>
      <c r="AN44" t="s">
        <v>8</v>
      </c>
    </row>
    <row r="45" spans="1:40" x14ac:dyDescent="0.35">
      <c r="A45">
        <v>73</v>
      </c>
      <c r="B45" t="s">
        <v>16</v>
      </c>
      <c r="C45">
        <v>1.61</v>
      </c>
      <c r="D45" s="2">
        <v>8</v>
      </c>
      <c r="E45" t="s">
        <v>52</v>
      </c>
      <c r="F45" t="s">
        <v>53</v>
      </c>
      <c r="G45" t="s">
        <v>167</v>
      </c>
      <c r="H45">
        <v>0</v>
      </c>
      <c r="I45" s="13">
        <v>0.25</v>
      </c>
      <c r="J45">
        <v>2</v>
      </c>
      <c r="K45" s="2">
        <v>3</v>
      </c>
      <c r="L45">
        <v>1</v>
      </c>
      <c r="M45" s="2">
        <f t="shared" si="0"/>
        <v>-2</v>
      </c>
      <c r="N45">
        <v>9</v>
      </c>
      <c r="O45">
        <v>9</v>
      </c>
      <c r="P45">
        <f t="shared" si="1"/>
        <v>0</v>
      </c>
      <c r="Q45">
        <v>3</v>
      </c>
      <c r="R45">
        <v>3</v>
      </c>
      <c r="S45">
        <f t="shared" si="2"/>
        <v>0</v>
      </c>
      <c r="T45">
        <v>1</v>
      </c>
      <c r="U45">
        <v>1</v>
      </c>
      <c r="V45">
        <f t="shared" si="3"/>
        <v>0</v>
      </c>
      <c r="W45">
        <v>1</v>
      </c>
      <c r="X45">
        <v>1</v>
      </c>
      <c r="Y45">
        <f t="shared" si="4"/>
        <v>0</v>
      </c>
      <c r="Z45">
        <f t="shared" si="7"/>
        <v>0</v>
      </c>
      <c r="AA45" s="2">
        <v>0</v>
      </c>
      <c r="AB45" s="5">
        <v>1</v>
      </c>
      <c r="AC45" s="5">
        <v>0</v>
      </c>
      <c r="AD45">
        <f t="shared" si="5"/>
        <v>1</v>
      </c>
      <c r="AE45" s="2">
        <v>0</v>
      </c>
      <c r="AF45" s="2">
        <v>0</v>
      </c>
      <c r="AG45" s="2">
        <v>0</v>
      </c>
      <c r="AH45" s="2">
        <v>1</v>
      </c>
      <c r="AI45" s="2">
        <v>0</v>
      </c>
      <c r="AJ45" s="2">
        <v>0</v>
      </c>
      <c r="AK45" s="2">
        <v>0</v>
      </c>
      <c r="AL45" s="2">
        <v>0</v>
      </c>
      <c r="AM45">
        <f t="shared" si="6"/>
        <v>0</v>
      </c>
      <c r="AN45" t="s">
        <v>136</v>
      </c>
    </row>
    <row r="46" spans="1:40" x14ac:dyDescent="0.35">
      <c r="A46">
        <v>74</v>
      </c>
      <c r="B46" t="s">
        <v>16</v>
      </c>
      <c r="C46">
        <v>1.61</v>
      </c>
      <c r="D46" s="5">
        <v>8</v>
      </c>
      <c r="E46" t="s">
        <v>52</v>
      </c>
      <c r="F46" t="s">
        <v>56</v>
      </c>
      <c r="G46" t="s">
        <v>166</v>
      </c>
      <c r="H46">
        <v>1</v>
      </c>
      <c r="I46" s="13">
        <v>1</v>
      </c>
      <c r="J46">
        <v>1</v>
      </c>
      <c r="K46" s="2">
        <v>6</v>
      </c>
      <c r="L46">
        <v>6</v>
      </c>
      <c r="M46" s="2">
        <f t="shared" si="0"/>
        <v>0</v>
      </c>
      <c r="N46">
        <v>4</v>
      </c>
      <c r="O46">
        <v>2</v>
      </c>
      <c r="P46">
        <f t="shared" si="1"/>
        <v>-2</v>
      </c>
      <c r="Q46">
        <v>2</v>
      </c>
      <c r="R46">
        <v>1</v>
      </c>
      <c r="S46">
        <f t="shared" si="2"/>
        <v>-1</v>
      </c>
      <c r="T46">
        <v>4</v>
      </c>
      <c r="U46">
        <v>2</v>
      </c>
      <c r="V46">
        <f t="shared" si="3"/>
        <v>-2</v>
      </c>
      <c r="W46">
        <v>2</v>
      </c>
      <c r="X46">
        <v>2</v>
      </c>
      <c r="Y46">
        <f t="shared" si="4"/>
        <v>0</v>
      </c>
      <c r="Z46">
        <f t="shared" si="7"/>
        <v>0</v>
      </c>
      <c r="AA46" s="2">
        <v>1</v>
      </c>
      <c r="AB46" s="5">
        <v>1</v>
      </c>
      <c r="AC46" s="5">
        <v>0</v>
      </c>
      <c r="AD46">
        <f t="shared" si="5"/>
        <v>1</v>
      </c>
      <c r="AE46" s="2">
        <v>1</v>
      </c>
      <c r="AF46" s="2">
        <v>1</v>
      </c>
      <c r="AG46" s="2">
        <v>0</v>
      </c>
      <c r="AH46" s="2">
        <v>1</v>
      </c>
      <c r="AI46" s="5">
        <v>1</v>
      </c>
      <c r="AJ46" s="5">
        <v>0</v>
      </c>
      <c r="AK46" s="2">
        <v>1</v>
      </c>
      <c r="AL46" s="2">
        <v>0</v>
      </c>
      <c r="AM46">
        <f t="shared" si="6"/>
        <v>0</v>
      </c>
      <c r="AN46" s="9" t="s">
        <v>6</v>
      </c>
    </row>
    <row r="47" spans="1:40" x14ac:dyDescent="0.35">
      <c r="A47">
        <v>75</v>
      </c>
      <c r="B47" t="s">
        <v>165</v>
      </c>
      <c r="C47">
        <v>1.47</v>
      </c>
      <c r="D47" s="2">
        <v>39</v>
      </c>
      <c r="E47" t="s">
        <v>162</v>
      </c>
      <c r="F47" t="s">
        <v>56</v>
      </c>
      <c r="G47" t="s">
        <v>166</v>
      </c>
      <c r="H47">
        <v>0</v>
      </c>
      <c r="I47" s="13">
        <v>0.75</v>
      </c>
      <c r="J47">
        <v>2</v>
      </c>
      <c r="K47" s="2">
        <v>3</v>
      </c>
      <c r="L47">
        <v>3</v>
      </c>
      <c r="M47" s="2">
        <f t="shared" si="0"/>
        <v>0</v>
      </c>
      <c r="N47">
        <v>6</v>
      </c>
      <c r="O47">
        <v>3</v>
      </c>
      <c r="P47">
        <f t="shared" si="1"/>
        <v>-3</v>
      </c>
      <c r="Q47">
        <v>3</v>
      </c>
      <c r="R47">
        <v>3</v>
      </c>
      <c r="S47">
        <f t="shared" si="2"/>
        <v>0</v>
      </c>
      <c r="T47">
        <v>5</v>
      </c>
      <c r="U47">
        <v>5</v>
      </c>
      <c r="V47">
        <f t="shared" si="3"/>
        <v>0</v>
      </c>
      <c r="W47">
        <v>1</v>
      </c>
      <c r="X47">
        <v>1</v>
      </c>
      <c r="Y47">
        <f t="shared" si="4"/>
        <v>0</v>
      </c>
      <c r="Z47">
        <f t="shared" si="7"/>
        <v>0</v>
      </c>
      <c r="AA47" s="2">
        <v>0</v>
      </c>
      <c r="AB47" s="2">
        <v>0</v>
      </c>
      <c r="AC47" s="2">
        <v>1</v>
      </c>
      <c r="AD47">
        <f t="shared" si="5"/>
        <v>1</v>
      </c>
      <c r="AE47" s="2">
        <v>1</v>
      </c>
      <c r="AF47" s="2">
        <v>1</v>
      </c>
      <c r="AG47" s="2">
        <v>0</v>
      </c>
      <c r="AH47" s="2">
        <v>1</v>
      </c>
      <c r="AI47" s="2">
        <v>0</v>
      </c>
      <c r="AJ47" s="2">
        <v>0</v>
      </c>
      <c r="AK47" s="2">
        <v>1</v>
      </c>
      <c r="AL47" s="2">
        <v>1</v>
      </c>
      <c r="AM47">
        <f t="shared" si="6"/>
        <v>0</v>
      </c>
      <c r="AN47" t="s">
        <v>9</v>
      </c>
    </row>
    <row r="48" spans="1:40" x14ac:dyDescent="0.35">
      <c r="A48">
        <v>76</v>
      </c>
      <c r="B48" t="s">
        <v>164</v>
      </c>
      <c r="C48">
        <v>0.44</v>
      </c>
      <c r="D48" s="5">
        <v>12</v>
      </c>
      <c r="E48" t="s">
        <v>162</v>
      </c>
      <c r="F48" t="s">
        <v>56</v>
      </c>
      <c r="G48" t="s">
        <v>166</v>
      </c>
      <c r="H48">
        <v>0</v>
      </c>
      <c r="I48" s="13">
        <v>0.5</v>
      </c>
      <c r="J48">
        <v>2</v>
      </c>
      <c r="K48" s="2">
        <v>2</v>
      </c>
      <c r="L48">
        <v>2</v>
      </c>
      <c r="M48" s="2">
        <f t="shared" si="0"/>
        <v>0</v>
      </c>
      <c r="N48">
        <v>7</v>
      </c>
      <c r="O48">
        <v>7</v>
      </c>
      <c r="P48">
        <f t="shared" si="1"/>
        <v>0</v>
      </c>
      <c r="Q48">
        <v>3</v>
      </c>
      <c r="R48">
        <v>3</v>
      </c>
      <c r="S48">
        <f t="shared" si="2"/>
        <v>0</v>
      </c>
      <c r="T48">
        <v>3</v>
      </c>
      <c r="U48">
        <v>3</v>
      </c>
      <c r="V48">
        <f t="shared" si="3"/>
        <v>0</v>
      </c>
      <c r="W48">
        <v>1</v>
      </c>
      <c r="X48">
        <v>1</v>
      </c>
      <c r="Y48">
        <f t="shared" si="4"/>
        <v>0</v>
      </c>
      <c r="Z48">
        <f t="shared" si="7"/>
        <v>0</v>
      </c>
      <c r="AA48" s="2">
        <v>1</v>
      </c>
      <c r="AB48" s="2">
        <v>1</v>
      </c>
      <c r="AC48" s="2">
        <v>1</v>
      </c>
      <c r="AD48">
        <f t="shared" si="5"/>
        <v>1</v>
      </c>
      <c r="AE48" s="2">
        <v>0</v>
      </c>
      <c r="AF48" s="2">
        <v>1</v>
      </c>
      <c r="AG48" s="2">
        <v>0</v>
      </c>
      <c r="AH48" s="2">
        <v>1</v>
      </c>
      <c r="AI48" s="2">
        <v>0</v>
      </c>
      <c r="AJ48" s="2">
        <v>0</v>
      </c>
      <c r="AK48" s="2">
        <v>1</v>
      </c>
      <c r="AL48" s="2">
        <v>0</v>
      </c>
      <c r="AM48">
        <f t="shared" si="6"/>
        <v>0</v>
      </c>
      <c r="AN48" s="9" t="s">
        <v>39</v>
      </c>
    </row>
    <row r="49" spans="1:40" x14ac:dyDescent="0.35">
      <c r="A49">
        <v>79</v>
      </c>
      <c r="B49" t="s">
        <v>14</v>
      </c>
      <c r="C49">
        <v>1.42</v>
      </c>
      <c r="D49" s="5">
        <v>4</v>
      </c>
      <c r="E49" t="s">
        <v>160</v>
      </c>
      <c r="F49" t="s">
        <v>59</v>
      </c>
      <c r="G49" t="s">
        <v>167</v>
      </c>
      <c r="H49">
        <v>0</v>
      </c>
      <c r="I49" s="13">
        <v>0.25</v>
      </c>
      <c r="J49">
        <v>1</v>
      </c>
      <c r="K49" s="2">
        <v>2</v>
      </c>
      <c r="L49">
        <v>2</v>
      </c>
      <c r="M49" s="2">
        <f t="shared" ref="M49:M89" si="8">L49-K49</f>
        <v>0</v>
      </c>
      <c r="N49">
        <v>5</v>
      </c>
      <c r="O49">
        <v>5</v>
      </c>
      <c r="P49">
        <f t="shared" ref="P49:P89" si="9">O49-N49</f>
        <v>0</v>
      </c>
      <c r="Q49">
        <v>3</v>
      </c>
      <c r="R49">
        <v>3</v>
      </c>
      <c r="S49">
        <f t="shared" ref="S49:S89" si="10">R49-Q49</f>
        <v>0</v>
      </c>
      <c r="T49">
        <v>2</v>
      </c>
      <c r="U49">
        <v>2</v>
      </c>
      <c r="V49">
        <f t="shared" ref="V49:V89" si="11">U49-T49</f>
        <v>0</v>
      </c>
      <c r="W49">
        <v>1</v>
      </c>
      <c r="X49">
        <v>1</v>
      </c>
      <c r="Y49">
        <f t="shared" ref="Y49:Y89" si="12">X49-W49</f>
        <v>0</v>
      </c>
      <c r="Z49">
        <f t="shared" si="7"/>
        <v>0</v>
      </c>
      <c r="AA49" s="2">
        <v>0</v>
      </c>
      <c r="AB49" s="2">
        <v>0</v>
      </c>
      <c r="AC49" s="2">
        <v>0</v>
      </c>
      <c r="AD49">
        <f t="shared" ref="AD49:AD89" si="13">IF(AB49+AC49&gt;0,1,0)</f>
        <v>0</v>
      </c>
      <c r="AE49" s="2">
        <v>0</v>
      </c>
      <c r="AF49" s="2">
        <v>1</v>
      </c>
      <c r="AG49" s="2">
        <v>0</v>
      </c>
      <c r="AH49" s="2">
        <v>1</v>
      </c>
      <c r="AI49" s="2">
        <v>0</v>
      </c>
      <c r="AJ49" s="2">
        <v>0</v>
      </c>
      <c r="AK49" s="2">
        <v>1</v>
      </c>
      <c r="AL49" s="2">
        <v>0</v>
      </c>
      <c r="AM49">
        <f t="shared" ref="AM49:AM89" si="14">IF(AA49+AD49+AE49+AF49+AH49+AK49+AL49=0,1,0)</f>
        <v>0</v>
      </c>
      <c r="AN49" s="9" t="s">
        <v>6</v>
      </c>
    </row>
    <row r="50" spans="1:40" x14ac:dyDescent="0.35">
      <c r="A50">
        <v>80</v>
      </c>
      <c r="B50" t="s">
        <v>165</v>
      </c>
      <c r="C50">
        <v>1.47</v>
      </c>
      <c r="D50" s="2">
        <v>46</v>
      </c>
      <c r="E50" t="s">
        <v>162</v>
      </c>
      <c r="F50" t="s">
        <v>53</v>
      </c>
      <c r="G50" t="s">
        <v>167</v>
      </c>
      <c r="H50">
        <v>0</v>
      </c>
      <c r="I50" s="13">
        <v>1</v>
      </c>
      <c r="J50">
        <v>2</v>
      </c>
      <c r="K50" s="2">
        <v>4</v>
      </c>
      <c r="L50">
        <v>4</v>
      </c>
      <c r="M50" s="2">
        <f t="shared" si="8"/>
        <v>0</v>
      </c>
      <c r="N50">
        <v>5</v>
      </c>
      <c r="O50">
        <v>3</v>
      </c>
      <c r="P50">
        <f t="shared" si="9"/>
        <v>-2</v>
      </c>
      <c r="Q50">
        <v>2</v>
      </c>
      <c r="R50">
        <v>2</v>
      </c>
      <c r="S50">
        <f t="shared" si="10"/>
        <v>0</v>
      </c>
      <c r="T50">
        <v>3</v>
      </c>
      <c r="U50">
        <v>5</v>
      </c>
      <c r="V50">
        <f t="shared" si="11"/>
        <v>2</v>
      </c>
      <c r="W50">
        <v>1</v>
      </c>
      <c r="X50">
        <v>1</v>
      </c>
      <c r="Y50">
        <f t="shared" si="12"/>
        <v>0</v>
      </c>
      <c r="Z50">
        <f t="shared" si="7"/>
        <v>0</v>
      </c>
      <c r="AA50" s="2">
        <v>0</v>
      </c>
      <c r="AB50" s="2">
        <v>0</v>
      </c>
      <c r="AC50" s="2">
        <v>0</v>
      </c>
      <c r="AD50">
        <f t="shared" si="13"/>
        <v>0</v>
      </c>
      <c r="AE50" s="2">
        <v>0</v>
      </c>
      <c r="AF50" s="2">
        <v>1</v>
      </c>
      <c r="AG50" s="2">
        <v>0</v>
      </c>
      <c r="AH50" s="2">
        <v>1</v>
      </c>
      <c r="AI50" s="2">
        <v>0</v>
      </c>
      <c r="AJ50" s="2">
        <v>0</v>
      </c>
      <c r="AK50" s="2">
        <v>0</v>
      </c>
      <c r="AL50" s="2">
        <v>1</v>
      </c>
      <c r="AM50">
        <f t="shared" si="14"/>
        <v>0</v>
      </c>
      <c r="AN50" t="s">
        <v>43</v>
      </c>
    </row>
    <row r="51" spans="1:40" x14ac:dyDescent="0.35">
      <c r="A51">
        <v>81</v>
      </c>
      <c r="B51" t="s">
        <v>165</v>
      </c>
      <c r="C51">
        <v>1.47</v>
      </c>
      <c r="D51" s="2">
        <v>125</v>
      </c>
      <c r="E51" t="s">
        <v>162</v>
      </c>
      <c r="F51" t="s">
        <v>59</v>
      </c>
      <c r="G51" t="s">
        <v>167</v>
      </c>
      <c r="H51">
        <v>0</v>
      </c>
      <c r="I51" s="13">
        <v>1</v>
      </c>
      <c r="J51">
        <v>2</v>
      </c>
      <c r="K51" s="2">
        <v>2</v>
      </c>
      <c r="L51">
        <v>3</v>
      </c>
      <c r="M51" s="2">
        <f t="shared" si="8"/>
        <v>1</v>
      </c>
      <c r="N51">
        <v>8</v>
      </c>
      <c r="O51">
        <v>5</v>
      </c>
      <c r="P51">
        <f t="shared" si="9"/>
        <v>-3</v>
      </c>
      <c r="Q51">
        <v>2</v>
      </c>
      <c r="R51">
        <v>2</v>
      </c>
      <c r="S51">
        <f t="shared" si="10"/>
        <v>0</v>
      </c>
      <c r="T51">
        <v>2</v>
      </c>
      <c r="U51">
        <v>2</v>
      </c>
      <c r="V51">
        <f t="shared" si="11"/>
        <v>0</v>
      </c>
      <c r="W51">
        <v>1</v>
      </c>
      <c r="X51">
        <v>1</v>
      </c>
      <c r="Y51">
        <f t="shared" si="12"/>
        <v>0</v>
      </c>
      <c r="Z51">
        <f t="shared" si="7"/>
        <v>0</v>
      </c>
      <c r="AA51" s="2">
        <v>0</v>
      </c>
      <c r="AB51" s="2">
        <v>0</v>
      </c>
      <c r="AC51" s="2">
        <v>0</v>
      </c>
      <c r="AD51">
        <f t="shared" si="13"/>
        <v>0</v>
      </c>
      <c r="AE51" s="2">
        <v>0</v>
      </c>
      <c r="AF51" s="2">
        <v>1</v>
      </c>
      <c r="AG51" s="2">
        <v>0</v>
      </c>
      <c r="AH51" s="2">
        <v>1</v>
      </c>
      <c r="AI51" s="2">
        <v>0</v>
      </c>
      <c r="AJ51" s="2">
        <v>1</v>
      </c>
      <c r="AK51" s="2">
        <v>1</v>
      </c>
      <c r="AL51" s="2">
        <v>0</v>
      </c>
      <c r="AM51">
        <f t="shared" si="14"/>
        <v>0</v>
      </c>
      <c r="AN51" t="s">
        <v>9</v>
      </c>
    </row>
    <row r="52" spans="1:40" x14ac:dyDescent="0.35">
      <c r="A52">
        <v>82</v>
      </c>
      <c r="B52" t="s">
        <v>18</v>
      </c>
      <c r="C52">
        <v>-0.04</v>
      </c>
      <c r="D52" s="2">
        <v>15</v>
      </c>
      <c r="E52" t="s">
        <v>160</v>
      </c>
      <c r="F52" t="s">
        <v>59</v>
      </c>
      <c r="G52" t="s">
        <v>166</v>
      </c>
      <c r="H52">
        <v>0</v>
      </c>
      <c r="I52" s="13">
        <v>0.5</v>
      </c>
      <c r="J52">
        <v>1</v>
      </c>
      <c r="K52" s="2">
        <v>5</v>
      </c>
      <c r="L52">
        <v>5</v>
      </c>
      <c r="M52" s="2">
        <f t="shared" si="8"/>
        <v>0</v>
      </c>
      <c r="N52">
        <v>8</v>
      </c>
      <c r="O52">
        <v>7</v>
      </c>
      <c r="P52">
        <f t="shared" si="9"/>
        <v>-1</v>
      </c>
      <c r="Q52">
        <v>2</v>
      </c>
      <c r="R52">
        <v>2</v>
      </c>
      <c r="S52">
        <f t="shared" si="10"/>
        <v>0</v>
      </c>
      <c r="T52">
        <v>2</v>
      </c>
      <c r="U52">
        <v>3</v>
      </c>
      <c r="V52">
        <f t="shared" si="11"/>
        <v>1</v>
      </c>
      <c r="W52">
        <v>1</v>
      </c>
      <c r="X52">
        <v>1</v>
      </c>
      <c r="Y52">
        <f t="shared" si="12"/>
        <v>0</v>
      </c>
      <c r="Z52">
        <f t="shared" si="7"/>
        <v>0</v>
      </c>
      <c r="AA52" s="2">
        <v>0</v>
      </c>
      <c r="AB52" s="2">
        <v>1</v>
      </c>
      <c r="AC52" s="2">
        <v>0</v>
      </c>
      <c r="AD52">
        <f t="shared" si="13"/>
        <v>1</v>
      </c>
      <c r="AE52" s="2">
        <v>0</v>
      </c>
      <c r="AF52" s="2">
        <v>1</v>
      </c>
      <c r="AG52" s="2">
        <v>0</v>
      </c>
      <c r="AH52" s="2">
        <v>1</v>
      </c>
      <c r="AI52" s="2">
        <v>0</v>
      </c>
      <c r="AJ52" s="2">
        <v>0</v>
      </c>
      <c r="AK52" s="2">
        <v>1</v>
      </c>
      <c r="AL52" s="2">
        <v>0</v>
      </c>
      <c r="AM52">
        <f t="shared" si="14"/>
        <v>0</v>
      </c>
      <c r="AN52" t="s">
        <v>136</v>
      </c>
    </row>
    <row r="53" spans="1:40" x14ac:dyDescent="0.35">
      <c r="A53">
        <v>83</v>
      </c>
      <c r="B53" t="s">
        <v>164</v>
      </c>
      <c r="C53">
        <v>0.44</v>
      </c>
      <c r="D53" s="5">
        <v>9</v>
      </c>
      <c r="E53" t="s">
        <v>162</v>
      </c>
      <c r="F53" t="s">
        <v>59</v>
      </c>
      <c r="G53" t="s">
        <v>166</v>
      </c>
      <c r="H53">
        <v>0</v>
      </c>
      <c r="I53" s="13">
        <v>0.25</v>
      </c>
      <c r="J53">
        <v>2</v>
      </c>
      <c r="K53" s="2">
        <v>2</v>
      </c>
      <c r="L53">
        <v>1</v>
      </c>
      <c r="M53" s="2">
        <f t="shared" si="8"/>
        <v>-1</v>
      </c>
      <c r="N53">
        <v>7</v>
      </c>
      <c r="O53">
        <v>5</v>
      </c>
      <c r="P53">
        <f t="shared" si="9"/>
        <v>-2</v>
      </c>
      <c r="Q53">
        <v>1</v>
      </c>
      <c r="R53">
        <v>1</v>
      </c>
      <c r="S53">
        <f t="shared" si="10"/>
        <v>0</v>
      </c>
      <c r="T53">
        <v>1</v>
      </c>
      <c r="U53">
        <v>2</v>
      </c>
      <c r="V53">
        <f t="shared" si="11"/>
        <v>1</v>
      </c>
      <c r="W53">
        <v>1</v>
      </c>
      <c r="X53">
        <v>1</v>
      </c>
      <c r="Y53">
        <f t="shared" si="12"/>
        <v>0</v>
      </c>
      <c r="Z53">
        <f t="shared" si="7"/>
        <v>0</v>
      </c>
      <c r="AA53" s="2">
        <v>0</v>
      </c>
      <c r="AB53" s="2">
        <v>0</v>
      </c>
      <c r="AC53" s="2">
        <v>0</v>
      </c>
      <c r="AD53">
        <f t="shared" si="13"/>
        <v>0</v>
      </c>
      <c r="AE53" s="2">
        <v>0</v>
      </c>
      <c r="AF53" s="2">
        <v>1</v>
      </c>
      <c r="AG53" s="2">
        <v>0</v>
      </c>
      <c r="AH53" s="2">
        <v>1</v>
      </c>
      <c r="AI53" s="2">
        <v>0</v>
      </c>
      <c r="AJ53" s="2">
        <v>0</v>
      </c>
      <c r="AK53" s="2">
        <v>0</v>
      </c>
      <c r="AL53" s="2">
        <v>0</v>
      </c>
      <c r="AM53">
        <f t="shared" si="14"/>
        <v>0</v>
      </c>
      <c r="AN53" s="9" t="s">
        <v>39</v>
      </c>
    </row>
    <row r="54" spans="1:40" x14ac:dyDescent="0.35">
      <c r="A54">
        <v>87</v>
      </c>
      <c r="B54" t="s">
        <v>18</v>
      </c>
      <c r="C54">
        <v>-0.04</v>
      </c>
      <c r="D54" s="2">
        <v>87</v>
      </c>
      <c r="E54" t="s">
        <v>141</v>
      </c>
      <c r="F54" t="s">
        <v>59</v>
      </c>
      <c r="G54" t="s">
        <v>166</v>
      </c>
      <c r="H54">
        <v>0</v>
      </c>
      <c r="I54" s="13">
        <v>0.25</v>
      </c>
      <c r="J54">
        <v>1</v>
      </c>
      <c r="K54" s="2">
        <v>3</v>
      </c>
      <c r="L54">
        <v>3</v>
      </c>
      <c r="M54" s="2">
        <f t="shared" si="8"/>
        <v>0</v>
      </c>
      <c r="N54">
        <v>7</v>
      </c>
      <c r="O54">
        <v>5</v>
      </c>
      <c r="P54">
        <f t="shared" si="9"/>
        <v>-2</v>
      </c>
      <c r="Q54">
        <v>2</v>
      </c>
      <c r="R54">
        <v>2</v>
      </c>
      <c r="S54">
        <f t="shared" si="10"/>
        <v>0</v>
      </c>
      <c r="T54">
        <v>1</v>
      </c>
      <c r="U54">
        <v>1</v>
      </c>
      <c r="V54">
        <f t="shared" si="11"/>
        <v>0</v>
      </c>
      <c r="W54">
        <v>0</v>
      </c>
      <c r="X54">
        <v>0</v>
      </c>
      <c r="Y54">
        <f t="shared" si="12"/>
        <v>0</v>
      </c>
      <c r="Z54">
        <f t="shared" si="7"/>
        <v>1</v>
      </c>
      <c r="AA54" s="2">
        <v>0</v>
      </c>
      <c r="AB54" s="2">
        <v>0</v>
      </c>
      <c r="AC54" s="2">
        <v>1</v>
      </c>
      <c r="AD54">
        <f t="shared" si="13"/>
        <v>1</v>
      </c>
      <c r="AE54" s="2">
        <v>0</v>
      </c>
      <c r="AF54" s="2">
        <v>1</v>
      </c>
      <c r="AG54" s="2">
        <v>0</v>
      </c>
      <c r="AH54" s="2">
        <v>1</v>
      </c>
      <c r="AI54" s="2">
        <v>0</v>
      </c>
      <c r="AJ54" s="2">
        <v>0</v>
      </c>
      <c r="AK54" s="2">
        <v>0</v>
      </c>
      <c r="AL54" s="2">
        <v>1</v>
      </c>
      <c r="AM54">
        <f t="shared" si="14"/>
        <v>0</v>
      </c>
      <c r="AN54" t="s">
        <v>6</v>
      </c>
    </row>
    <row r="55" spans="1:40" x14ac:dyDescent="0.35">
      <c r="A55">
        <v>89</v>
      </c>
      <c r="B55" t="s">
        <v>18</v>
      </c>
      <c r="C55">
        <v>-0.04</v>
      </c>
      <c r="D55" s="2">
        <v>60</v>
      </c>
      <c r="E55" t="s">
        <v>62</v>
      </c>
      <c r="F55" t="s">
        <v>55</v>
      </c>
      <c r="G55" t="s">
        <v>166</v>
      </c>
      <c r="H55">
        <v>0</v>
      </c>
      <c r="I55" s="13">
        <v>0.5</v>
      </c>
      <c r="J55">
        <v>1</v>
      </c>
      <c r="K55" s="2">
        <v>4</v>
      </c>
      <c r="L55">
        <v>2</v>
      </c>
      <c r="M55" s="2">
        <f t="shared" si="8"/>
        <v>-2</v>
      </c>
      <c r="N55">
        <v>5</v>
      </c>
      <c r="O55">
        <v>5</v>
      </c>
      <c r="P55">
        <f t="shared" si="9"/>
        <v>0</v>
      </c>
      <c r="Q55">
        <v>2</v>
      </c>
      <c r="R55">
        <v>2</v>
      </c>
      <c r="S55">
        <f t="shared" si="10"/>
        <v>0</v>
      </c>
      <c r="T55">
        <v>2</v>
      </c>
      <c r="U55">
        <v>3</v>
      </c>
      <c r="V55">
        <f t="shared" si="11"/>
        <v>1</v>
      </c>
      <c r="W55">
        <v>2</v>
      </c>
      <c r="X55">
        <v>2</v>
      </c>
      <c r="Y55">
        <f t="shared" si="12"/>
        <v>0</v>
      </c>
      <c r="Z55">
        <f t="shared" si="7"/>
        <v>0</v>
      </c>
      <c r="AA55" s="2">
        <v>0</v>
      </c>
      <c r="AB55" s="2">
        <v>1</v>
      </c>
      <c r="AC55" s="2">
        <v>0</v>
      </c>
      <c r="AD55">
        <f t="shared" si="13"/>
        <v>1</v>
      </c>
      <c r="AE55" s="2">
        <v>0</v>
      </c>
      <c r="AF55" s="2">
        <v>1</v>
      </c>
      <c r="AG55" s="2">
        <v>0</v>
      </c>
      <c r="AH55" s="2">
        <v>1</v>
      </c>
      <c r="AI55" s="2">
        <v>1</v>
      </c>
      <c r="AJ55" s="2">
        <v>1</v>
      </c>
      <c r="AK55" s="2">
        <v>1</v>
      </c>
      <c r="AL55" s="2">
        <v>0</v>
      </c>
      <c r="AM55">
        <f t="shared" si="14"/>
        <v>0</v>
      </c>
      <c r="AN55" t="s">
        <v>6</v>
      </c>
    </row>
    <row r="56" spans="1:40" x14ac:dyDescent="0.35">
      <c r="A56">
        <v>90</v>
      </c>
      <c r="B56" t="s">
        <v>18</v>
      </c>
      <c r="C56">
        <v>-0.04</v>
      </c>
      <c r="D56" s="2">
        <v>89</v>
      </c>
      <c r="E56" t="s">
        <v>160</v>
      </c>
      <c r="F56" t="s">
        <v>53</v>
      </c>
      <c r="G56" t="s">
        <v>166</v>
      </c>
      <c r="H56">
        <v>0</v>
      </c>
      <c r="I56" s="13">
        <v>0.25</v>
      </c>
      <c r="J56">
        <v>1</v>
      </c>
      <c r="K56" s="2">
        <v>3</v>
      </c>
      <c r="L56">
        <v>3</v>
      </c>
      <c r="M56" s="2">
        <f t="shared" si="8"/>
        <v>0</v>
      </c>
      <c r="N56">
        <v>4</v>
      </c>
      <c r="O56">
        <v>4</v>
      </c>
      <c r="P56">
        <f t="shared" si="9"/>
        <v>0</v>
      </c>
      <c r="Q56">
        <v>2</v>
      </c>
      <c r="R56">
        <v>2</v>
      </c>
      <c r="S56">
        <f t="shared" si="10"/>
        <v>0</v>
      </c>
      <c r="T56">
        <v>1</v>
      </c>
      <c r="U56">
        <v>1</v>
      </c>
      <c r="V56">
        <f t="shared" si="11"/>
        <v>0</v>
      </c>
      <c r="W56">
        <v>0</v>
      </c>
      <c r="X56">
        <v>0</v>
      </c>
      <c r="Y56">
        <f t="shared" si="12"/>
        <v>0</v>
      </c>
      <c r="Z56">
        <f t="shared" si="7"/>
        <v>1</v>
      </c>
      <c r="AA56" s="2">
        <v>0</v>
      </c>
      <c r="AB56" s="2">
        <v>0</v>
      </c>
      <c r="AC56" s="2">
        <v>1</v>
      </c>
      <c r="AD56">
        <f t="shared" si="13"/>
        <v>1</v>
      </c>
      <c r="AE56" s="2">
        <v>0</v>
      </c>
      <c r="AF56" s="2">
        <v>1</v>
      </c>
      <c r="AG56" s="2">
        <v>0</v>
      </c>
      <c r="AH56" s="2">
        <v>0</v>
      </c>
      <c r="AI56" s="2">
        <v>0</v>
      </c>
      <c r="AJ56" s="2">
        <v>0</v>
      </c>
      <c r="AK56" s="2">
        <v>0</v>
      </c>
      <c r="AL56" s="2">
        <v>0</v>
      </c>
      <c r="AM56">
        <f t="shared" si="14"/>
        <v>0</v>
      </c>
      <c r="AN56" t="s">
        <v>137</v>
      </c>
    </row>
    <row r="57" spans="1:40" x14ac:dyDescent="0.35">
      <c r="A57">
        <v>91</v>
      </c>
      <c r="B57" t="s">
        <v>18</v>
      </c>
      <c r="C57">
        <v>-0.04</v>
      </c>
      <c r="D57" s="2">
        <v>7</v>
      </c>
      <c r="E57" t="s">
        <v>62</v>
      </c>
      <c r="F57" t="s">
        <v>55</v>
      </c>
      <c r="G57" t="s">
        <v>166</v>
      </c>
      <c r="H57">
        <v>0</v>
      </c>
      <c r="I57" s="13">
        <v>0.25</v>
      </c>
      <c r="J57">
        <v>1</v>
      </c>
      <c r="K57" s="2">
        <v>5</v>
      </c>
      <c r="L57">
        <v>5</v>
      </c>
      <c r="M57" s="2">
        <f t="shared" si="8"/>
        <v>0</v>
      </c>
      <c r="N57">
        <v>8</v>
      </c>
      <c r="O57">
        <v>8</v>
      </c>
      <c r="P57">
        <f t="shared" si="9"/>
        <v>0</v>
      </c>
      <c r="Q57">
        <v>1</v>
      </c>
      <c r="R57">
        <v>1</v>
      </c>
      <c r="S57">
        <f t="shared" si="10"/>
        <v>0</v>
      </c>
      <c r="T57">
        <v>1</v>
      </c>
      <c r="U57">
        <v>1</v>
      </c>
      <c r="V57">
        <f t="shared" si="11"/>
        <v>0</v>
      </c>
      <c r="W57">
        <v>1</v>
      </c>
      <c r="X57">
        <v>1</v>
      </c>
      <c r="Y57">
        <f t="shared" si="12"/>
        <v>0</v>
      </c>
      <c r="Z57">
        <f t="shared" si="7"/>
        <v>0</v>
      </c>
      <c r="AA57" s="2">
        <v>0</v>
      </c>
      <c r="AB57" s="2">
        <v>0</v>
      </c>
      <c r="AC57" s="2">
        <v>0</v>
      </c>
      <c r="AD57">
        <f t="shared" si="13"/>
        <v>0</v>
      </c>
      <c r="AE57" s="2">
        <v>0</v>
      </c>
      <c r="AF57" s="2">
        <v>1</v>
      </c>
      <c r="AG57" s="2">
        <v>0</v>
      </c>
      <c r="AH57" s="2">
        <v>0</v>
      </c>
      <c r="AI57" s="2">
        <v>0</v>
      </c>
      <c r="AJ57" s="2">
        <v>1</v>
      </c>
      <c r="AK57" s="2">
        <v>0</v>
      </c>
      <c r="AL57" s="2">
        <v>0</v>
      </c>
      <c r="AM57">
        <f t="shared" si="14"/>
        <v>0</v>
      </c>
      <c r="AN57" t="s">
        <v>47</v>
      </c>
    </row>
    <row r="58" spans="1:40" x14ac:dyDescent="0.35">
      <c r="A58">
        <v>93</v>
      </c>
      <c r="B58" t="s">
        <v>16</v>
      </c>
      <c r="C58">
        <v>1.61</v>
      </c>
      <c r="D58" s="2">
        <v>7</v>
      </c>
      <c r="E58" t="s">
        <v>52</v>
      </c>
      <c r="F58" t="s">
        <v>59</v>
      </c>
      <c r="G58" t="s">
        <v>166</v>
      </c>
      <c r="H58">
        <v>0</v>
      </c>
      <c r="I58" s="13">
        <v>1</v>
      </c>
      <c r="J58">
        <v>2</v>
      </c>
      <c r="K58" s="2">
        <v>16</v>
      </c>
      <c r="L58">
        <v>16</v>
      </c>
      <c r="M58" s="2">
        <f t="shared" si="8"/>
        <v>0</v>
      </c>
      <c r="N58">
        <v>9</v>
      </c>
      <c r="O58">
        <v>6</v>
      </c>
      <c r="P58">
        <f t="shared" si="9"/>
        <v>-3</v>
      </c>
      <c r="Q58">
        <v>2</v>
      </c>
      <c r="R58">
        <v>2</v>
      </c>
      <c r="S58">
        <f t="shared" si="10"/>
        <v>0</v>
      </c>
      <c r="T58">
        <v>5</v>
      </c>
      <c r="U58">
        <v>1</v>
      </c>
      <c r="V58">
        <f t="shared" si="11"/>
        <v>-4</v>
      </c>
      <c r="W58">
        <v>1</v>
      </c>
      <c r="X58">
        <v>1</v>
      </c>
      <c r="Y58">
        <f t="shared" si="12"/>
        <v>0</v>
      </c>
      <c r="Z58">
        <f t="shared" si="7"/>
        <v>0</v>
      </c>
      <c r="AA58" s="2">
        <v>0</v>
      </c>
      <c r="AB58" s="2">
        <v>0</v>
      </c>
      <c r="AC58" s="2">
        <v>0</v>
      </c>
      <c r="AD58">
        <f t="shared" si="13"/>
        <v>0</v>
      </c>
      <c r="AE58" s="2">
        <v>0</v>
      </c>
      <c r="AF58" s="2">
        <v>1</v>
      </c>
      <c r="AG58" s="2">
        <v>0</v>
      </c>
      <c r="AH58" s="2">
        <v>0</v>
      </c>
      <c r="AI58" s="2">
        <v>0</v>
      </c>
      <c r="AJ58" s="2">
        <v>0</v>
      </c>
      <c r="AK58" s="2">
        <v>0</v>
      </c>
      <c r="AL58" s="2">
        <v>0</v>
      </c>
      <c r="AM58">
        <f t="shared" si="14"/>
        <v>0</v>
      </c>
      <c r="AN58" t="s">
        <v>6</v>
      </c>
    </row>
    <row r="59" spans="1:40" x14ac:dyDescent="0.35">
      <c r="A59">
        <v>96</v>
      </c>
      <c r="B59" t="s">
        <v>18</v>
      </c>
      <c r="C59">
        <v>-0.04</v>
      </c>
      <c r="D59" s="2">
        <v>135</v>
      </c>
      <c r="E59" t="s">
        <v>160</v>
      </c>
      <c r="F59" t="s">
        <v>55</v>
      </c>
      <c r="G59" t="s">
        <v>166</v>
      </c>
      <c r="H59">
        <v>0</v>
      </c>
      <c r="I59" s="13">
        <v>0.25</v>
      </c>
      <c r="J59">
        <v>1</v>
      </c>
      <c r="K59" s="2">
        <v>3</v>
      </c>
      <c r="L59">
        <v>3</v>
      </c>
      <c r="M59" s="2">
        <f t="shared" si="8"/>
        <v>0</v>
      </c>
      <c r="N59">
        <v>9</v>
      </c>
      <c r="O59">
        <v>9</v>
      </c>
      <c r="P59">
        <f t="shared" si="9"/>
        <v>0</v>
      </c>
      <c r="Q59">
        <v>3</v>
      </c>
      <c r="R59">
        <v>3</v>
      </c>
      <c r="S59">
        <f t="shared" si="10"/>
        <v>0</v>
      </c>
      <c r="T59">
        <v>2</v>
      </c>
      <c r="U59">
        <v>1</v>
      </c>
      <c r="V59">
        <f t="shared" si="11"/>
        <v>-1</v>
      </c>
      <c r="W59">
        <v>1</v>
      </c>
      <c r="X59">
        <v>0</v>
      </c>
      <c r="Y59">
        <f t="shared" si="12"/>
        <v>-1</v>
      </c>
      <c r="Z59">
        <f t="shared" si="7"/>
        <v>1</v>
      </c>
      <c r="AA59" s="2">
        <v>0</v>
      </c>
      <c r="AB59" s="2">
        <v>1</v>
      </c>
      <c r="AC59" s="2">
        <v>1</v>
      </c>
      <c r="AD59">
        <f t="shared" si="13"/>
        <v>1</v>
      </c>
      <c r="AE59" s="2">
        <v>0</v>
      </c>
      <c r="AF59" s="2">
        <v>1</v>
      </c>
      <c r="AG59" s="2">
        <v>0</v>
      </c>
      <c r="AH59" s="2">
        <v>1</v>
      </c>
      <c r="AI59" s="2">
        <v>0</v>
      </c>
      <c r="AJ59" s="2">
        <v>1</v>
      </c>
      <c r="AK59" s="2">
        <v>0</v>
      </c>
      <c r="AL59" s="2">
        <v>0</v>
      </c>
      <c r="AM59">
        <f t="shared" si="14"/>
        <v>0</v>
      </c>
      <c r="AN59" t="s">
        <v>136</v>
      </c>
    </row>
    <row r="60" spans="1:40" x14ac:dyDescent="0.35">
      <c r="A60">
        <v>97</v>
      </c>
      <c r="B60" t="s">
        <v>14</v>
      </c>
      <c r="C60">
        <v>1.42</v>
      </c>
      <c r="D60" s="2">
        <v>4</v>
      </c>
      <c r="E60" t="s">
        <v>160</v>
      </c>
      <c r="F60" t="s">
        <v>55</v>
      </c>
      <c r="G60" t="s">
        <v>166</v>
      </c>
      <c r="H60">
        <v>0</v>
      </c>
      <c r="I60" s="13">
        <v>1</v>
      </c>
      <c r="J60">
        <v>1</v>
      </c>
      <c r="K60" s="2">
        <v>6</v>
      </c>
      <c r="L60">
        <v>6</v>
      </c>
      <c r="M60" s="2">
        <f t="shared" si="8"/>
        <v>0</v>
      </c>
      <c r="N60">
        <v>8</v>
      </c>
      <c r="O60">
        <v>4</v>
      </c>
      <c r="P60">
        <f t="shared" si="9"/>
        <v>-4</v>
      </c>
      <c r="Q60">
        <v>1</v>
      </c>
      <c r="R60">
        <v>2</v>
      </c>
      <c r="S60">
        <f t="shared" si="10"/>
        <v>1</v>
      </c>
      <c r="T60">
        <v>1</v>
      </c>
      <c r="U60">
        <v>1</v>
      </c>
      <c r="V60">
        <f t="shared" si="11"/>
        <v>0</v>
      </c>
      <c r="W60">
        <v>0</v>
      </c>
      <c r="X60">
        <v>1</v>
      </c>
      <c r="Y60">
        <f t="shared" si="12"/>
        <v>1</v>
      </c>
      <c r="Z60">
        <f t="shared" si="7"/>
        <v>0</v>
      </c>
      <c r="AA60" s="2">
        <v>0</v>
      </c>
      <c r="AB60" s="2">
        <v>1</v>
      </c>
      <c r="AC60" s="2">
        <v>1</v>
      </c>
      <c r="AD60">
        <f t="shared" si="13"/>
        <v>1</v>
      </c>
      <c r="AE60" s="2">
        <v>0</v>
      </c>
      <c r="AF60" s="2">
        <v>1</v>
      </c>
      <c r="AG60" s="2">
        <v>0</v>
      </c>
      <c r="AH60" s="2">
        <v>1</v>
      </c>
      <c r="AI60" s="2">
        <v>0</v>
      </c>
      <c r="AJ60" s="2">
        <v>0</v>
      </c>
      <c r="AK60" s="2">
        <v>0</v>
      </c>
      <c r="AL60" s="2">
        <v>0</v>
      </c>
      <c r="AM60">
        <f t="shared" si="14"/>
        <v>0</v>
      </c>
      <c r="AN60" t="s">
        <v>136</v>
      </c>
    </row>
    <row r="61" spans="1:40" x14ac:dyDescent="0.35">
      <c r="A61">
        <v>99</v>
      </c>
      <c r="B61" t="s">
        <v>18</v>
      </c>
      <c r="C61">
        <v>-0.04</v>
      </c>
      <c r="D61" s="5">
        <v>99</v>
      </c>
      <c r="E61" t="s">
        <v>61</v>
      </c>
      <c r="F61" t="s">
        <v>55</v>
      </c>
      <c r="G61" t="s">
        <v>167</v>
      </c>
      <c r="H61">
        <v>0</v>
      </c>
      <c r="I61" s="13">
        <v>1</v>
      </c>
      <c r="J61">
        <v>1</v>
      </c>
      <c r="K61" s="2">
        <v>1</v>
      </c>
      <c r="L61">
        <v>1</v>
      </c>
      <c r="M61" s="2">
        <f t="shared" si="8"/>
        <v>0</v>
      </c>
      <c r="N61">
        <v>6</v>
      </c>
      <c r="O61">
        <v>6</v>
      </c>
      <c r="P61">
        <f t="shared" si="9"/>
        <v>0</v>
      </c>
      <c r="Q61">
        <v>2</v>
      </c>
      <c r="R61">
        <v>2</v>
      </c>
      <c r="S61">
        <f t="shared" si="10"/>
        <v>0</v>
      </c>
      <c r="T61">
        <v>2</v>
      </c>
      <c r="U61">
        <v>1</v>
      </c>
      <c r="V61">
        <f t="shared" si="11"/>
        <v>-1</v>
      </c>
      <c r="W61">
        <v>0</v>
      </c>
      <c r="X61">
        <v>0</v>
      </c>
      <c r="Y61">
        <f t="shared" si="12"/>
        <v>0</v>
      </c>
      <c r="Z61">
        <f t="shared" si="7"/>
        <v>1</v>
      </c>
      <c r="AA61" s="2">
        <v>0</v>
      </c>
      <c r="AB61" s="2">
        <v>0</v>
      </c>
      <c r="AC61" s="2">
        <v>0</v>
      </c>
      <c r="AD61">
        <f t="shared" si="13"/>
        <v>0</v>
      </c>
      <c r="AE61" s="2">
        <v>0</v>
      </c>
      <c r="AF61" s="2">
        <v>0</v>
      </c>
      <c r="AG61" s="2">
        <v>0</v>
      </c>
      <c r="AH61" s="2">
        <v>1</v>
      </c>
      <c r="AI61" s="2">
        <v>0</v>
      </c>
      <c r="AJ61" s="2">
        <v>0</v>
      </c>
      <c r="AK61" s="2">
        <v>0</v>
      </c>
      <c r="AL61" s="2">
        <v>0</v>
      </c>
      <c r="AM61">
        <f t="shared" si="14"/>
        <v>0</v>
      </c>
      <c r="AN61" s="9" t="s">
        <v>140</v>
      </c>
    </row>
    <row r="62" spans="1:40" x14ac:dyDescent="0.35">
      <c r="A62">
        <v>100</v>
      </c>
      <c r="B62" t="s">
        <v>18</v>
      </c>
      <c r="C62">
        <v>-0.04</v>
      </c>
      <c r="D62" s="2">
        <v>102</v>
      </c>
      <c r="E62" t="s">
        <v>62</v>
      </c>
      <c r="F62" t="s">
        <v>59</v>
      </c>
      <c r="G62" t="s">
        <v>166</v>
      </c>
      <c r="H62">
        <v>0</v>
      </c>
      <c r="I62" s="13">
        <v>0.5</v>
      </c>
      <c r="J62">
        <v>1</v>
      </c>
      <c r="K62" s="2">
        <v>2</v>
      </c>
      <c r="L62">
        <v>2</v>
      </c>
      <c r="M62" s="2">
        <f t="shared" si="8"/>
        <v>0</v>
      </c>
      <c r="N62">
        <v>5</v>
      </c>
      <c r="O62">
        <v>5</v>
      </c>
      <c r="P62">
        <f t="shared" si="9"/>
        <v>0</v>
      </c>
      <c r="Q62">
        <v>3</v>
      </c>
      <c r="R62">
        <v>3</v>
      </c>
      <c r="S62">
        <f t="shared" si="10"/>
        <v>0</v>
      </c>
      <c r="T62">
        <v>1</v>
      </c>
      <c r="U62">
        <v>3</v>
      </c>
      <c r="V62">
        <f t="shared" si="11"/>
        <v>2</v>
      </c>
      <c r="W62">
        <v>2</v>
      </c>
      <c r="X62">
        <v>2</v>
      </c>
      <c r="Y62">
        <f t="shared" si="12"/>
        <v>0</v>
      </c>
      <c r="Z62">
        <f t="shared" si="7"/>
        <v>0</v>
      </c>
      <c r="AA62" s="2">
        <v>0</v>
      </c>
      <c r="AB62" s="2">
        <v>0</v>
      </c>
      <c r="AC62" s="2">
        <v>0</v>
      </c>
      <c r="AD62">
        <f t="shared" si="13"/>
        <v>0</v>
      </c>
      <c r="AE62" s="2">
        <v>0</v>
      </c>
      <c r="AF62" s="2">
        <v>1</v>
      </c>
      <c r="AG62" s="2">
        <v>0</v>
      </c>
      <c r="AH62" s="2">
        <v>1</v>
      </c>
      <c r="AI62" s="2">
        <v>0</v>
      </c>
      <c r="AJ62" s="2">
        <v>1</v>
      </c>
      <c r="AK62" s="2">
        <v>1</v>
      </c>
      <c r="AL62" s="2">
        <v>0</v>
      </c>
      <c r="AM62">
        <f t="shared" si="14"/>
        <v>0</v>
      </c>
      <c r="AN62" t="s">
        <v>47</v>
      </c>
    </row>
    <row r="63" spans="1:40" x14ac:dyDescent="0.35">
      <c r="A63">
        <v>102</v>
      </c>
      <c r="B63" t="s">
        <v>18</v>
      </c>
      <c r="C63">
        <v>-0.04</v>
      </c>
      <c r="D63" s="2">
        <v>135</v>
      </c>
      <c r="E63" t="s">
        <v>160</v>
      </c>
      <c r="F63" t="s">
        <v>55</v>
      </c>
      <c r="G63" t="s">
        <v>166</v>
      </c>
      <c r="H63">
        <v>0</v>
      </c>
      <c r="I63" s="13">
        <v>0.25</v>
      </c>
      <c r="J63">
        <v>1</v>
      </c>
      <c r="K63" s="2">
        <v>1</v>
      </c>
      <c r="L63">
        <v>1</v>
      </c>
      <c r="M63" s="2">
        <f t="shared" si="8"/>
        <v>0</v>
      </c>
      <c r="N63">
        <v>7</v>
      </c>
      <c r="O63">
        <v>6</v>
      </c>
      <c r="P63">
        <f t="shared" si="9"/>
        <v>-1</v>
      </c>
      <c r="Q63">
        <v>2</v>
      </c>
      <c r="R63">
        <v>2</v>
      </c>
      <c r="S63">
        <f t="shared" si="10"/>
        <v>0</v>
      </c>
      <c r="T63">
        <v>3</v>
      </c>
      <c r="U63">
        <v>1</v>
      </c>
      <c r="V63">
        <f t="shared" si="11"/>
        <v>-2</v>
      </c>
      <c r="W63">
        <v>1</v>
      </c>
      <c r="X63">
        <v>1</v>
      </c>
      <c r="Y63">
        <f t="shared" si="12"/>
        <v>0</v>
      </c>
      <c r="Z63">
        <f t="shared" si="7"/>
        <v>0</v>
      </c>
      <c r="AA63" s="2">
        <v>0</v>
      </c>
      <c r="AB63" s="2">
        <v>0</v>
      </c>
      <c r="AC63" s="2">
        <v>0</v>
      </c>
      <c r="AD63">
        <f t="shared" si="13"/>
        <v>0</v>
      </c>
      <c r="AE63" s="2">
        <v>0</v>
      </c>
      <c r="AF63" s="2">
        <v>1</v>
      </c>
      <c r="AG63" s="2">
        <v>0</v>
      </c>
      <c r="AH63" s="2">
        <v>0</v>
      </c>
      <c r="AI63" s="2">
        <v>0</v>
      </c>
      <c r="AJ63" s="2">
        <v>0</v>
      </c>
      <c r="AK63" s="2">
        <v>0</v>
      </c>
      <c r="AL63" s="2">
        <v>0</v>
      </c>
      <c r="AM63">
        <f t="shared" si="14"/>
        <v>0</v>
      </c>
      <c r="AN63" t="s">
        <v>6</v>
      </c>
    </row>
    <row r="64" spans="1:40" x14ac:dyDescent="0.35">
      <c r="A64">
        <v>107</v>
      </c>
      <c r="B64" t="s">
        <v>18</v>
      </c>
      <c r="C64">
        <v>-0.04</v>
      </c>
      <c r="D64" s="2">
        <v>60</v>
      </c>
      <c r="E64" t="s">
        <v>160</v>
      </c>
      <c r="F64" t="s">
        <v>55</v>
      </c>
      <c r="G64" t="s">
        <v>166</v>
      </c>
      <c r="H64">
        <v>0</v>
      </c>
      <c r="I64" s="13">
        <v>0.75</v>
      </c>
      <c r="J64">
        <v>1</v>
      </c>
      <c r="K64" s="2">
        <v>9</v>
      </c>
      <c r="L64">
        <v>9</v>
      </c>
      <c r="M64" s="2">
        <f t="shared" si="8"/>
        <v>0</v>
      </c>
      <c r="N64">
        <v>7</v>
      </c>
      <c r="O64">
        <v>5</v>
      </c>
      <c r="P64">
        <f t="shared" si="9"/>
        <v>-2</v>
      </c>
      <c r="Q64">
        <v>3</v>
      </c>
      <c r="R64">
        <v>3</v>
      </c>
      <c r="S64">
        <f t="shared" si="10"/>
        <v>0</v>
      </c>
      <c r="T64">
        <v>4</v>
      </c>
      <c r="U64">
        <v>3</v>
      </c>
      <c r="V64">
        <f t="shared" si="11"/>
        <v>-1</v>
      </c>
      <c r="W64">
        <v>1</v>
      </c>
      <c r="X64">
        <v>1</v>
      </c>
      <c r="Y64">
        <f t="shared" si="12"/>
        <v>0</v>
      </c>
      <c r="Z64">
        <f t="shared" si="7"/>
        <v>0</v>
      </c>
      <c r="AA64" s="2">
        <v>0</v>
      </c>
      <c r="AB64" s="2">
        <v>0</v>
      </c>
      <c r="AC64" s="2">
        <v>0</v>
      </c>
      <c r="AD64">
        <f t="shared" si="13"/>
        <v>0</v>
      </c>
      <c r="AE64" s="2">
        <v>0</v>
      </c>
      <c r="AF64" s="2">
        <v>1</v>
      </c>
      <c r="AG64" s="2">
        <v>0</v>
      </c>
      <c r="AH64" s="2">
        <v>1</v>
      </c>
      <c r="AI64" s="2">
        <v>0</v>
      </c>
      <c r="AJ64" s="2">
        <v>1</v>
      </c>
      <c r="AK64" s="2">
        <v>0</v>
      </c>
      <c r="AL64" s="2">
        <v>1</v>
      </c>
      <c r="AM64">
        <f t="shared" si="14"/>
        <v>0</v>
      </c>
      <c r="AN64" t="s">
        <v>6</v>
      </c>
    </row>
    <row r="65" spans="1:40" x14ac:dyDescent="0.35">
      <c r="A65">
        <v>108</v>
      </c>
      <c r="B65" t="s">
        <v>16</v>
      </c>
      <c r="C65">
        <v>1.61</v>
      </c>
      <c r="D65" s="2">
        <v>8</v>
      </c>
      <c r="E65" t="s">
        <v>52</v>
      </c>
      <c r="F65" t="s">
        <v>53</v>
      </c>
      <c r="G65" t="s">
        <v>166</v>
      </c>
      <c r="H65">
        <v>1</v>
      </c>
      <c r="I65" s="13">
        <v>0.75</v>
      </c>
      <c r="J65">
        <v>1</v>
      </c>
      <c r="K65" s="2">
        <v>13</v>
      </c>
      <c r="L65">
        <v>1</v>
      </c>
      <c r="M65" s="2">
        <f t="shared" si="8"/>
        <v>-12</v>
      </c>
      <c r="N65">
        <v>8</v>
      </c>
      <c r="O65">
        <v>1</v>
      </c>
      <c r="P65">
        <f t="shared" si="9"/>
        <v>-7</v>
      </c>
      <c r="Q65">
        <v>1</v>
      </c>
      <c r="R65">
        <v>1</v>
      </c>
      <c r="S65">
        <f t="shared" si="10"/>
        <v>0</v>
      </c>
      <c r="T65">
        <v>1</v>
      </c>
      <c r="U65">
        <v>1</v>
      </c>
      <c r="V65">
        <f t="shared" si="11"/>
        <v>0</v>
      </c>
      <c r="W65">
        <v>0</v>
      </c>
      <c r="X65">
        <v>1</v>
      </c>
      <c r="Y65">
        <f t="shared" si="12"/>
        <v>1</v>
      </c>
      <c r="Z65">
        <f t="shared" si="7"/>
        <v>0</v>
      </c>
      <c r="AA65" s="2">
        <v>0</v>
      </c>
      <c r="AB65" s="2">
        <v>1</v>
      </c>
      <c r="AC65" s="2">
        <v>1</v>
      </c>
      <c r="AD65">
        <f t="shared" si="13"/>
        <v>1</v>
      </c>
      <c r="AE65" s="2">
        <v>1</v>
      </c>
      <c r="AF65" s="2">
        <v>1</v>
      </c>
      <c r="AG65" s="2">
        <v>0</v>
      </c>
      <c r="AH65" s="2">
        <v>1</v>
      </c>
      <c r="AI65" s="2">
        <v>0</v>
      </c>
      <c r="AJ65" s="2">
        <v>1</v>
      </c>
      <c r="AK65" s="2">
        <v>0</v>
      </c>
      <c r="AL65" s="2">
        <v>0</v>
      </c>
      <c r="AM65">
        <f t="shared" si="14"/>
        <v>0</v>
      </c>
      <c r="AN65" t="s">
        <v>137</v>
      </c>
    </row>
    <row r="66" spans="1:40" x14ac:dyDescent="0.35">
      <c r="A66">
        <v>109</v>
      </c>
      <c r="B66" t="s">
        <v>18</v>
      </c>
      <c r="C66">
        <v>-0.04</v>
      </c>
      <c r="D66" s="2">
        <v>40</v>
      </c>
      <c r="E66" t="s">
        <v>160</v>
      </c>
      <c r="F66" t="s">
        <v>56</v>
      </c>
      <c r="G66" t="s">
        <v>166</v>
      </c>
      <c r="H66">
        <v>0</v>
      </c>
      <c r="I66" s="13">
        <v>1</v>
      </c>
      <c r="J66">
        <v>1</v>
      </c>
      <c r="K66" s="2">
        <v>3</v>
      </c>
      <c r="L66">
        <v>3</v>
      </c>
      <c r="M66" s="2">
        <f t="shared" si="8"/>
        <v>0</v>
      </c>
      <c r="N66">
        <v>9</v>
      </c>
      <c r="O66">
        <v>8</v>
      </c>
      <c r="P66">
        <f t="shared" si="9"/>
        <v>-1</v>
      </c>
      <c r="Q66">
        <v>3</v>
      </c>
      <c r="R66">
        <v>3</v>
      </c>
      <c r="S66">
        <f t="shared" si="10"/>
        <v>0</v>
      </c>
      <c r="T66">
        <v>1</v>
      </c>
      <c r="U66">
        <v>1</v>
      </c>
      <c r="V66">
        <f t="shared" si="11"/>
        <v>0</v>
      </c>
      <c r="W66">
        <v>2</v>
      </c>
      <c r="X66">
        <v>2</v>
      </c>
      <c r="Y66">
        <f t="shared" si="12"/>
        <v>0</v>
      </c>
      <c r="Z66">
        <f t="shared" si="7"/>
        <v>0</v>
      </c>
      <c r="AA66" s="2">
        <v>0</v>
      </c>
      <c r="AB66" s="2">
        <v>0</v>
      </c>
      <c r="AC66" s="2">
        <v>0</v>
      </c>
      <c r="AD66">
        <f t="shared" si="13"/>
        <v>0</v>
      </c>
      <c r="AE66" s="2">
        <v>0</v>
      </c>
      <c r="AF66" s="2">
        <v>0</v>
      </c>
      <c r="AG66" s="2">
        <v>0</v>
      </c>
      <c r="AH66" s="2">
        <v>0</v>
      </c>
      <c r="AI66" s="2">
        <v>0</v>
      </c>
      <c r="AJ66" s="2">
        <v>0</v>
      </c>
      <c r="AK66" s="2">
        <v>0</v>
      </c>
      <c r="AL66" s="2">
        <v>0</v>
      </c>
      <c r="AM66">
        <f t="shared" si="14"/>
        <v>1</v>
      </c>
      <c r="AN66" t="s">
        <v>140</v>
      </c>
    </row>
    <row r="67" spans="1:40" x14ac:dyDescent="0.35">
      <c r="A67">
        <v>111</v>
      </c>
      <c r="B67" t="s">
        <v>14</v>
      </c>
      <c r="C67">
        <v>1.42</v>
      </c>
      <c r="D67" s="2">
        <v>27</v>
      </c>
      <c r="E67" t="s">
        <v>160</v>
      </c>
      <c r="F67" t="s">
        <v>55</v>
      </c>
      <c r="G67" t="s">
        <v>166</v>
      </c>
      <c r="H67">
        <v>0</v>
      </c>
      <c r="I67" s="13">
        <v>1</v>
      </c>
      <c r="J67">
        <v>1</v>
      </c>
      <c r="K67" s="5">
        <v>11</v>
      </c>
      <c r="L67" s="9">
        <v>11</v>
      </c>
      <c r="M67" s="2">
        <f t="shared" si="8"/>
        <v>0</v>
      </c>
      <c r="N67">
        <v>5</v>
      </c>
      <c r="O67">
        <v>5</v>
      </c>
      <c r="P67">
        <f t="shared" si="9"/>
        <v>0</v>
      </c>
      <c r="Q67">
        <v>1</v>
      </c>
      <c r="R67">
        <v>1</v>
      </c>
      <c r="S67">
        <f t="shared" si="10"/>
        <v>0</v>
      </c>
      <c r="T67">
        <v>2</v>
      </c>
      <c r="U67">
        <v>3</v>
      </c>
      <c r="V67">
        <f t="shared" si="11"/>
        <v>1</v>
      </c>
      <c r="W67">
        <v>2</v>
      </c>
      <c r="X67">
        <v>2</v>
      </c>
      <c r="Y67">
        <f t="shared" si="12"/>
        <v>0</v>
      </c>
      <c r="Z67">
        <f t="shared" ref="Z67:Z130" si="15">IF(OR(Y67&lt;0, X67&lt;1), 1, 0)</f>
        <v>0</v>
      </c>
      <c r="AA67" s="2">
        <v>0</v>
      </c>
      <c r="AB67" s="2">
        <v>1</v>
      </c>
      <c r="AC67" s="2">
        <v>1</v>
      </c>
      <c r="AD67">
        <f t="shared" si="13"/>
        <v>1</v>
      </c>
      <c r="AE67" s="2">
        <v>0</v>
      </c>
      <c r="AF67" s="2">
        <v>0</v>
      </c>
      <c r="AG67" s="2">
        <v>0</v>
      </c>
      <c r="AH67" s="2">
        <v>1</v>
      </c>
      <c r="AI67" s="2">
        <v>0</v>
      </c>
      <c r="AJ67" s="2">
        <v>0</v>
      </c>
      <c r="AK67" s="2">
        <v>0</v>
      </c>
      <c r="AL67" s="2">
        <v>0</v>
      </c>
      <c r="AM67">
        <f t="shared" si="14"/>
        <v>0</v>
      </c>
      <c r="AN67" t="s">
        <v>137</v>
      </c>
    </row>
    <row r="68" spans="1:40" x14ac:dyDescent="0.35">
      <c r="A68">
        <v>115</v>
      </c>
      <c r="B68" t="s">
        <v>127</v>
      </c>
      <c r="C68" s="9">
        <v>1.81</v>
      </c>
      <c r="D68" s="5">
        <v>25</v>
      </c>
      <c r="E68" t="s">
        <v>61</v>
      </c>
      <c r="F68" t="s">
        <v>53</v>
      </c>
      <c r="G68" t="s">
        <v>166</v>
      </c>
      <c r="H68">
        <v>0</v>
      </c>
      <c r="I68" s="13">
        <v>0.25</v>
      </c>
      <c r="J68">
        <v>1</v>
      </c>
      <c r="K68" s="2">
        <v>2</v>
      </c>
      <c r="L68">
        <v>2</v>
      </c>
      <c r="M68" s="2">
        <f t="shared" si="8"/>
        <v>0</v>
      </c>
      <c r="N68">
        <v>7</v>
      </c>
      <c r="O68">
        <v>7</v>
      </c>
      <c r="P68">
        <f t="shared" si="9"/>
        <v>0</v>
      </c>
      <c r="Q68">
        <v>3</v>
      </c>
      <c r="R68">
        <v>3</v>
      </c>
      <c r="S68">
        <f t="shared" si="10"/>
        <v>0</v>
      </c>
      <c r="T68">
        <v>4</v>
      </c>
      <c r="U68">
        <v>4</v>
      </c>
      <c r="V68">
        <f t="shared" si="11"/>
        <v>0</v>
      </c>
      <c r="W68">
        <v>1</v>
      </c>
      <c r="X68">
        <v>1</v>
      </c>
      <c r="Y68">
        <f t="shared" si="12"/>
        <v>0</v>
      </c>
      <c r="Z68">
        <f t="shared" si="15"/>
        <v>0</v>
      </c>
      <c r="AA68" s="2">
        <v>0</v>
      </c>
      <c r="AB68" s="2">
        <v>0</v>
      </c>
      <c r="AC68" s="2">
        <v>0</v>
      </c>
      <c r="AD68">
        <f t="shared" si="13"/>
        <v>0</v>
      </c>
      <c r="AE68" s="2">
        <v>0</v>
      </c>
      <c r="AF68" s="2">
        <v>1</v>
      </c>
      <c r="AG68" s="2">
        <v>0</v>
      </c>
      <c r="AH68" s="2">
        <v>1</v>
      </c>
      <c r="AI68" s="2">
        <v>0</v>
      </c>
      <c r="AJ68" s="2">
        <v>0</v>
      </c>
      <c r="AK68" s="2">
        <v>0</v>
      </c>
      <c r="AL68" s="2">
        <v>1</v>
      </c>
      <c r="AM68">
        <f t="shared" si="14"/>
        <v>0</v>
      </c>
      <c r="AN68" s="9" t="s">
        <v>39</v>
      </c>
    </row>
    <row r="69" spans="1:40" x14ac:dyDescent="0.35">
      <c r="A69">
        <v>118</v>
      </c>
      <c r="B69" t="s">
        <v>164</v>
      </c>
      <c r="C69">
        <v>0.44</v>
      </c>
      <c r="D69" s="5">
        <v>12</v>
      </c>
      <c r="E69" t="s">
        <v>61</v>
      </c>
      <c r="F69" t="s">
        <v>55</v>
      </c>
      <c r="G69" t="s">
        <v>167</v>
      </c>
      <c r="H69">
        <v>0</v>
      </c>
      <c r="I69" s="13">
        <v>0.5</v>
      </c>
      <c r="J69">
        <v>2</v>
      </c>
      <c r="K69" s="2">
        <v>2</v>
      </c>
      <c r="L69">
        <v>1</v>
      </c>
      <c r="M69" s="2">
        <f t="shared" si="8"/>
        <v>-1</v>
      </c>
      <c r="N69">
        <v>8</v>
      </c>
      <c r="O69">
        <v>8</v>
      </c>
      <c r="P69">
        <f t="shared" si="9"/>
        <v>0</v>
      </c>
      <c r="Q69">
        <v>1</v>
      </c>
      <c r="R69">
        <v>1</v>
      </c>
      <c r="S69">
        <f t="shared" si="10"/>
        <v>0</v>
      </c>
      <c r="T69">
        <v>2</v>
      </c>
      <c r="U69">
        <v>1</v>
      </c>
      <c r="V69">
        <f t="shared" si="11"/>
        <v>-1</v>
      </c>
      <c r="W69">
        <v>0</v>
      </c>
      <c r="X69">
        <v>1</v>
      </c>
      <c r="Y69">
        <f t="shared" si="12"/>
        <v>1</v>
      </c>
      <c r="Z69">
        <f t="shared" si="15"/>
        <v>0</v>
      </c>
      <c r="AA69" s="2">
        <v>0</v>
      </c>
      <c r="AB69" s="2">
        <v>0</v>
      </c>
      <c r="AC69" s="2">
        <v>0</v>
      </c>
      <c r="AD69">
        <f t="shared" si="13"/>
        <v>0</v>
      </c>
      <c r="AE69" s="2">
        <v>0</v>
      </c>
      <c r="AF69" s="2">
        <v>1</v>
      </c>
      <c r="AG69" s="2">
        <v>0</v>
      </c>
      <c r="AH69" s="2">
        <v>1</v>
      </c>
      <c r="AI69" s="2">
        <v>0</v>
      </c>
      <c r="AJ69" s="2">
        <v>0</v>
      </c>
      <c r="AK69" s="2">
        <v>1</v>
      </c>
      <c r="AL69" s="2">
        <v>0</v>
      </c>
      <c r="AM69">
        <f t="shared" si="14"/>
        <v>0</v>
      </c>
      <c r="AN69" s="9" t="s">
        <v>39</v>
      </c>
    </row>
    <row r="70" spans="1:40" x14ac:dyDescent="0.35">
      <c r="A70">
        <v>119</v>
      </c>
      <c r="B70" t="s">
        <v>127</v>
      </c>
      <c r="C70" s="9">
        <v>1.81</v>
      </c>
      <c r="D70" s="5">
        <v>22</v>
      </c>
      <c r="E70" t="s">
        <v>61</v>
      </c>
      <c r="F70" t="s">
        <v>53</v>
      </c>
      <c r="G70" s="10" t="s">
        <v>167</v>
      </c>
      <c r="H70">
        <v>0</v>
      </c>
      <c r="I70" s="13">
        <v>0.5</v>
      </c>
      <c r="J70">
        <v>1</v>
      </c>
      <c r="K70" s="2">
        <v>4</v>
      </c>
      <c r="L70">
        <v>4</v>
      </c>
      <c r="M70" s="2">
        <f t="shared" si="8"/>
        <v>0</v>
      </c>
      <c r="N70">
        <v>5</v>
      </c>
      <c r="O70">
        <v>3</v>
      </c>
      <c r="P70">
        <f t="shared" si="9"/>
        <v>-2</v>
      </c>
      <c r="Q70">
        <v>2</v>
      </c>
      <c r="R70">
        <v>2</v>
      </c>
      <c r="S70">
        <f t="shared" si="10"/>
        <v>0</v>
      </c>
      <c r="T70">
        <v>4</v>
      </c>
      <c r="U70">
        <v>5</v>
      </c>
      <c r="V70">
        <f t="shared" si="11"/>
        <v>1</v>
      </c>
      <c r="W70">
        <v>2</v>
      </c>
      <c r="X70">
        <v>2</v>
      </c>
      <c r="Y70">
        <f t="shared" si="12"/>
        <v>0</v>
      </c>
      <c r="Z70">
        <f t="shared" si="15"/>
        <v>0</v>
      </c>
      <c r="AA70" s="2">
        <v>0</v>
      </c>
      <c r="AB70" s="2">
        <v>1</v>
      </c>
      <c r="AC70" s="2">
        <v>0</v>
      </c>
      <c r="AD70">
        <f t="shared" si="13"/>
        <v>1</v>
      </c>
      <c r="AE70" s="2">
        <v>0</v>
      </c>
      <c r="AF70" s="2">
        <v>1</v>
      </c>
      <c r="AG70" s="2">
        <v>0</v>
      </c>
      <c r="AH70" s="2">
        <v>1</v>
      </c>
      <c r="AI70" s="2">
        <v>0</v>
      </c>
      <c r="AJ70" s="2">
        <v>0</v>
      </c>
      <c r="AK70" s="2">
        <v>0</v>
      </c>
      <c r="AL70" s="2">
        <v>1</v>
      </c>
      <c r="AM70">
        <f t="shared" si="14"/>
        <v>0</v>
      </c>
      <c r="AN70" s="9" t="s">
        <v>39</v>
      </c>
    </row>
    <row r="71" spans="1:40" x14ac:dyDescent="0.35">
      <c r="A71">
        <v>120</v>
      </c>
      <c r="B71" t="s">
        <v>16</v>
      </c>
      <c r="C71">
        <v>1.61</v>
      </c>
      <c r="D71" s="2">
        <v>135</v>
      </c>
      <c r="E71" t="s">
        <v>52</v>
      </c>
      <c r="F71" t="s">
        <v>53</v>
      </c>
      <c r="G71" t="s">
        <v>167</v>
      </c>
      <c r="H71">
        <v>0</v>
      </c>
      <c r="I71" s="13">
        <v>0.5</v>
      </c>
      <c r="J71">
        <v>2</v>
      </c>
      <c r="K71" s="2">
        <v>4</v>
      </c>
      <c r="L71">
        <v>5</v>
      </c>
      <c r="M71" s="2">
        <f t="shared" si="8"/>
        <v>1</v>
      </c>
      <c r="N71">
        <v>8</v>
      </c>
      <c r="O71">
        <v>4</v>
      </c>
      <c r="P71">
        <f t="shared" si="9"/>
        <v>-4</v>
      </c>
      <c r="Q71">
        <v>2</v>
      </c>
      <c r="R71">
        <v>2</v>
      </c>
      <c r="S71">
        <f t="shared" si="10"/>
        <v>0</v>
      </c>
      <c r="T71">
        <v>1</v>
      </c>
      <c r="U71">
        <v>1</v>
      </c>
      <c r="V71">
        <f t="shared" si="11"/>
        <v>0</v>
      </c>
      <c r="W71">
        <v>0</v>
      </c>
      <c r="X71">
        <v>0</v>
      </c>
      <c r="Y71">
        <f t="shared" si="12"/>
        <v>0</v>
      </c>
      <c r="Z71">
        <f t="shared" si="15"/>
        <v>1</v>
      </c>
      <c r="AA71" s="2">
        <v>0</v>
      </c>
      <c r="AB71" s="2">
        <v>1</v>
      </c>
      <c r="AC71" s="2">
        <v>0</v>
      </c>
      <c r="AD71">
        <f t="shared" si="13"/>
        <v>1</v>
      </c>
      <c r="AE71" s="2">
        <v>0</v>
      </c>
      <c r="AF71" s="2">
        <v>1</v>
      </c>
      <c r="AG71" s="2">
        <v>0</v>
      </c>
      <c r="AH71" s="2">
        <v>1</v>
      </c>
      <c r="AI71" s="2">
        <v>0</v>
      </c>
      <c r="AJ71" s="2">
        <v>0</v>
      </c>
      <c r="AK71" s="2">
        <v>0</v>
      </c>
      <c r="AL71" s="2">
        <v>0</v>
      </c>
      <c r="AM71">
        <f t="shared" si="14"/>
        <v>0</v>
      </c>
      <c r="AN71" t="s">
        <v>6</v>
      </c>
    </row>
    <row r="72" spans="1:40" x14ac:dyDescent="0.35">
      <c r="A72">
        <v>121</v>
      </c>
      <c r="B72" t="s">
        <v>164</v>
      </c>
      <c r="C72">
        <v>0.44</v>
      </c>
      <c r="D72" s="2">
        <v>5</v>
      </c>
      <c r="E72" t="s">
        <v>162</v>
      </c>
      <c r="F72" t="s">
        <v>55</v>
      </c>
      <c r="G72" t="s">
        <v>166</v>
      </c>
      <c r="H72">
        <v>0</v>
      </c>
      <c r="I72" s="13">
        <v>0.75</v>
      </c>
      <c r="J72">
        <v>2</v>
      </c>
      <c r="K72" s="2">
        <v>3</v>
      </c>
      <c r="L72">
        <v>3</v>
      </c>
      <c r="M72" s="2">
        <f t="shared" si="8"/>
        <v>0</v>
      </c>
      <c r="N72">
        <v>6</v>
      </c>
      <c r="O72">
        <v>5</v>
      </c>
      <c r="P72">
        <f t="shared" si="9"/>
        <v>-1</v>
      </c>
      <c r="Q72">
        <v>2</v>
      </c>
      <c r="R72">
        <v>2</v>
      </c>
      <c r="S72">
        <f t="shared" si="10"/>
        <v>0</v>
      </c>
      <c r="T72">
        <v>2</v>
      </c>
      <c r="U72">
        <v>2</v>
      </c>
      <c r="V72">
        <f t="shared" si="11"/>
        <v>0</v>
      </c>
      <c r="W72">
        <v>1</v>
      </c>
      <c r="X72">
        <v>1</v>
      </c>
      <c r="Y72">
        <f t="shared" si="12"/>
        <v>0</v>
      </c>
      <c r="Z72">
        <f t="shared" si="15"/>
        <v>0</v>
      </c>
      <c r="AA72" s="2">
        <v>0</v>
      </c>
      <c r="AB72" s="2">
        <v>1</v>
      </c>
      <c r="AC72" s="2">
        <v>1</v>
      </c>
      <c r="AD72">
        <f t="shared" si="13"/>
        <v>1</v>
      </c>
      <c r="AE72" s="2">
        <v>1</v>
      </c>
      <c r="AF72" s="2">
        <v>1</v>
      </c>
      <c r="AG72" s="2">
        <v>0</v>
      </c>
      <c r="AH72" s="2">
        <v>1</v>
      </c>
      <c r="AI72" s="2">
        <v>0</v>
      </c>
      <c r="AJ72" s="2">
        <v>1</v>
      </c>
      <c r="AK72" s="2">
        <v>1</v>
      </c>
      <c r="AL72" s="2">
        <v>1</v>
      </c>
      <c r="AM72">
        <f t="shared" si="14"/>
        <v>0</v>
      </c>
      <c r="AN72" t="s">
        <v>6</v>
      </c>
    </row>
    <row r="73" spans="1:40" x14ac:dyDescent="0.35">
      <c r="A73">
        <v>122</v>
      </c>
      <c r="B73" t="s">
        <v>127</v>
      </c>
      <c r="C73" s="9">
        <v>1.81</v>
      </c>
      <c r="D73" s="5">
        <v>15</v>
      </c>
      <c r="E73" t="s">
        <v>61</v>
      </c>
      <c r="F73" t="s">
        <v>53</v>
      </c>
      <c r="G73" t="s">
        <v>166</v>
      </c>
      <c r="H73">
        <v>0</v>
      </c>
      <c r="I73" s="13">
        <v>0.25</v>
      </c>
      <c r="J73">
        <v>1</v>
      </c>
      <c r="K73" s="2">
        <v>3</v>
      </c>
      <c r="L73">
        <v>3</v>
      </c>
      <c r="M73" s="2">
        <f t="shared" si="8"/>
        <v>0</v>
      </c>
      <c r="N73">
        <v>4</v>
      </c>
      <c r="O73">
        <v>4</v>
      </c>
      <c r="P73">
        <f t="shared" si="9"/>
        <v>0</v>
      </c>
      <c r="Q73">
        <v>2</v>
      </c>
      <c r="R73">
        <v>2</v>
      </c>
      <c r="S73">
        <f t="shared" si="10"/>
        <v>0</v>
      </c>
      <c r="T73">
        <v>2</v>
      </c>
      <c r="U73">
        <v>3</v>
      </c>
      <c r="V73">
        <f t="shared" si="11"/>
        <v>1</v>
      </c>
      <c r="W73">
        <v>1</v>
      </c>
      <c r="X73">
        <v>1</v>
      </c>
      <c r="Y73">
        <f t="shared" si="12"/>
        <v>0</v>
      </c>
      <c r="Z73">
        <f t="shared" si="15"/>
        <v>0</v>
      </c>
      <c r="AA73" s="2">
        <v>0</v>
      </c>
      <c r="AB73" s="2">
        <v>1</v>
      </c>
      <c r="AC73" s="2">
        <v>0</v>
      </c>
      <c r="AD73">
        <f t="shared" si="13"/>
        <v>1</v>
      </c>
      <c r="AE73" s="2">
        <v>0</v>
      </c>
      <c r="AF73" s="2">
        <v>0</v>
      </c>
      <c r="AG73" s="2">
        <v>0</v>
      </c>
      <c r="AH73" s="2">
        <v>1</v>
      </c>
      <c r="AI73" s="2">
        <v>0</v>
      </c>
      <c r="AJ73" s="2">
        <v>0</v>
      </c>
      <c r="AK73" s="2">
        <v>0</v>
      </c>
      <c r="AL73" s="2">
        <v>1</v>
      </c>
      <c r="AM73">
        <f t="shared" si="14"/>
        <v>0</v>
      </c>
      <c r="AN73" s="9" t="s">
        <v>39</v>
      </c>
    </row>
    <row r="74" spans="1:40" x14ac:dyDescent="0.35">
      <c r="A74">
        <v>124</v>
      </c>
      <c r="B74" t="s">
        <v>18</v>
      </c>
      <c r="C74">
        <v>-0.04</v>
      </c>
      <c r="D74" s="2">
        <v>60</v>
      </c>
      <c r="E74" t="s">
        <v>160</v>
      </c>
      <c r="F74" t="s">
        <v>53</v>
      </c>
      <c r="G74" t="s">
        <v>166</v>
      </c>
      <c r="H74">
        <v>0</v>
      </c>
      <c r="I74" s="13">
        <v>0.5</v>
      </c>
      <c r="J74">
        <v>1</v>
      </c>
      <c r="K74" s="2">
        <v>6</v>
      </c>
      <c r="L74">
        <v>8</v>
      </c>
      <c r="M74" s="2">
        <f t="shared" si="8"/>
        <v>2</v>
      </c>
      <c r="N74">
        <v>5</v>
      </c>
      <c r="O74">
        <v>6</v>
      </c>
      <c r="P74">
        <f t="shared" si="9"/>
        <v>1</v>
      </c>
      <c r="Q74">
        <v>3</v>
      </c>
      <c r="R74">
        <v>3</v>
      </c>
      <c r="S74">
        <f t="shared" si="10"/>
        <v>0</v>
      </c>
      <c r="T74">
        <v>2</v>
      </c>
      <c r="U74">
        <v>2</v>
      </c>
      <c r="V74">
        <f t="shared" si="11"/>
        <v>0</v>
      </c>
      <c r="W74">
        <v>2</v>
      </c>
      <c r="X74">
        <v>1</v>
      </c>
      <c r="Y74">
        <f t="shared" si="12"/>
        <v>-1</v>
      </c>
      <c r="Z74">
        <f t="shared" si="15"/>
        <v>1</v>
      </c>
      <c r="AA74" s="2">
        <v>1</v>
      </c>
      <c r="AB74" s="2">
        <v>0</v>
      </c>
      <c r="AC74" s="2">
        <v>0</v>
      </c>
      <c r="AD74">
        <f t="shared" si="13"/>
        <v>0</v>
      </c>
      <c r="AE74" s="2">
        <v>0</v>
      </c>
      <c r="AF74" s="2">
        <v>1</v>
      </c>
      <c r="AG74" s="2">
        <v>0</v>
      </c>
      <c r="AH74" s="2">
        <v>1</v>
      </c>
      <c r="AI74" s="2">
        <v>0</v>
      </c>
      <c r="AJ74" s="2">
        <v>0</v>
      </c>
      <c r="AK74" s="2">
        <v>1</v>
      </c>
      <c r="AL74" s="2">
        <v>0</v>
      </c>
      <c r="AM74">
        <f t="shared" si="14"/>
        <v>0</v>
      </c>
      <c r="AN74" s="2" t="s">
        <v>6</v>
      </c>
    </row>
    <row r="75" spans="1:40" x14ac:dyDescent="0.35">
      <c r="A75">
        <v>125</v>
      </c>
      <c r="B75" t="s">
        <v>164</v>
      </c>
      <c r="C75">
        <v>0.44</v>
      </c>
      <c r="D75" s="2">
        <v>6</v>
      </c>
      <c r="E75" t="s">
        <v>162</v>
      </c>
      <c r="F75" t="s">
        <v>53</v>
      </c>
      <c r="G75" t="s">
        <v>167</v>
      </c>
      <c r="H75">
        <v>0</v>
      </c>
      <c r="I75" s="13">
        <v>0.5</v>
      </c>
      <c r="J75">
        <v>2</v>
      </c>
      <c r="K75" s="2">
        <v>5</v>
      </c>
      <c r="L75">
        <v>5</v>
      </c>
      <c r="M75" s="2">
        <f t="shared" si="8"/>
        <v>0</v>
      </c>
      <c r="N75">
        <v>7</v>
      </c>
      <c r="O75">
        <v>6</v>
      </c>
      <c r="P75">
        <f t="shared" si="9"/>
        <v>-1</v>
      </c>
      <c r="Q75">
        <v>1</v>
      </c>
      <c r="R75">
        <v>1</v>
      </c>
      <c r="S75">
        <f t="shared" si="10"/>
        <v>0</v>
      </c>
      <c r="T75">
        <v>3</v>
      </c>
      <c r="U75">
        <v>3</v>
      </c>
      <c r="V75">
        <f t="shared" si="11"/>
        <v>0</v>
      </c>
      <c r="W75">
        <v>1</v>
      </c>
      <c r="X75">
        <v>1</v>
      </c>
      <c r="Y75">
        <f t="shared" si="12"/>
        <v>0</v>
      </c>
      <c r="Z75">
        <f t="shared" si="15"/>
        <v>0</v>
      </c>
      <c r="AA75" s="2">
        <v>0</v>
      </c>
      <c r="AB75" s="2">
        <v>1</v>
      </c>
      <c r="AC75" s="2">
        <v>0</v>
      </c>
      <c r="AD75">
        <f t="shared" si="13"/>
        <v>1</v>
      </c>
      <c r="AE75" s="2">
        <v>0</v>
      </c>
      <c r="AF75" s="2">
        <v>1</v>
      </c>
      <c r="AG75" s="2">
        <v>0</v>
      </c>
      <c r="AH75" s="2">
        <v>1</v>
      </c>
      <c r="AI75" s="2">
        <v>0</v>
      </c>
      <c r="AJ75" s="2">
        <v>0</v>
      </c>
      <c r="AK75" s="2">
        <v>1</v>
      </c>
      <c r="AL75" s="2">
        <v>0</v>
      </c>
      <c r="AM75">
        <f t="shared" si="14"/>
        <v>0</v>
      </c>
      <c r="AN75" t="s">
        <v>136</v>
      </c>
    </row>
    <row r="76" spans="1:40" x14ac:dyDescent="0.35">
      <c r="A76">
        <v>126</v>
      </c>
      <c r="B76" t="s">
        <v>127</v>
      </c>
      <c r="C76" s="9">
        <v>1.81</v>
      </c>
      <c r="D76" s="2">
        <v>18</v>
      </c>
      <c r="E76" t="s">
        <v>61</v>
      </c>
      <c r="F76" t="s">
        <v>55</v>
      </c>
      <c r="G76" t="s">
        <v>166</v>
      </c>
      <c r="H76">
        <v>0</v>
      </c>
      <c r="I76" s="13">
        <v>0.75</v>
      </c>
      <c r="J76">
        <v>1</v>
      </c>
      <c r="K76" s="2">
        <v>3</v>
      </c>
      <c r="L76">
        <v>3</v>
      </c>
      <c r="M76" s="2">
        <f t="shared" si="8"/>
        <v>0</v>
      </c>
      <c r="N76">
        <v>2</v>
      </c>
      <c r="O76">
        <v>2</v>
      </c>
      <c r="P76">
        <f t="shared" si="9"/>
        <v>0</v>
      </c>
      <c r="Q76">
        <v>2</v>
      </c>
      <c r="R76">
        <v>2</v>
      </c>
      <c r="S76">
        <f t="shared" si="10"/>
        <v>0</v>
      </c>
      <c r="T76">
        <v>4</v>
      </c>
      <c r="U76">
        <v>2</v>
      </c>
      <c r="V76">
        <f t="shared" si="11"/>
        <v>-2</v>
      </c>
      <c r="W76">
        <v>1</v>
      </c>
      <c r="X76">
        <v>1</v>
      </c>
      <c r="Y76">
        <f t="shared" si="12"/>
        <v>0</v>
      </c>
      <c r="Z76">
        <f t="shared" si="15"/>
        <v>0</v>
      </c>
      <c r="AA76" s="2">
        <v>0</v>
      </c>
      <c r="AB76" s="2">
        <v>0</v>
      </c>
      <c r="AC76" s="2">
        <v>0</v>
      </c>
      <c r="AD76">
        <f t="shared" si="13"/>
        <v>0</v>
      </c>
      <c r="AE76" s="2">
        <v>0</v>
      </c>
      <c r="AF76" s="2">
        <v>0</v>
      </c>
      <c r="AG76" s="2">
        <v>0</v>
      </c>
      <c r="AH76" s="2">
        <v>1</v>
      </c>
      <c r="AI76" s="2">
        <v>0</v>
      </c>
      <c r="AJ76" s="2">
        <v>0</v>
      </c>
      <c r="AK76" s="2">
        <v>0</v>
      </c>
      <c r="AL76" s="2">
        <v>1</v>
      </c>
      <c r="AM76">
        <f t="shared" si="14"/>
        <v>0</v>
      </c>
      <c r="AN76" t="s">
        <v>43</v>
      </c>
    </row>
    <row r="77" spans="1:40" x14ac:dyDescent="0.35">
      <c r="A77">
        <v>128</v>
      </c>
      <c r="B77" t="s">
        <v>16</v>
      </c>
      <c r="C77">
        <v>1.61</v>
      </c>
      <c r="D77" s="2">
        <v>9</v>
      </c>
      <c r="E77" t="s">
        <v>52</v>
      </c>
      <c r="F77" t="s">
        <v>56</v>
      </c>
      <c r="G77" t="s">
        <v>167</v>
      </c>
      <c r="H77">
        <v>1</v>
      </c>
      <c r="I77" s="13">
        <v>1</v>
      </c>
      <c r="J77">
        <v>1</v>
      </c>
      <c r="K77" s="2">
        <v>5</v>
      </c>
      <c r="L77">
        <v>5</v>
      </c>
      <c r="M77" s="2">
        <f t="shared" si="8"/>
        <v>0</v>
      </c>
      <c r="N77">
        <v>10</v>
      </c>
      <c r="O77">
        <v>1</v>
      </c>
      <c r="P77">
        <f t="shared" si="9"/>
        <v>-9</v>
      </c>
      <c r="Q77">
        <v>2</v>
      </c>
      <c r="R77">
        <v>2</v>
      </c>
      <c r="S77">
        <f t="shared" si="10"/>
        <v>0</v>
      </c>
      <c r="T77">
        <v>3</v>
      </c>
      <c r="U77">
        <v>2</v>
      </c>
      <c r="V77">
        <f t="shared" si="11"/>
        <v>-1</v>
      </c>
      <c r="W77">
        <v>2</v>
      </c>
      <c r="X77">
        <v>2</v>
      </c>
      <c r="Y77">
        <f t="shared" si="12"/>
        <v>0</v>
      </c>
      <c r="Z77">
        <f t="shared" si="15"/>
        <v>0</v>
      </c>
      <c r="AA77" s="2">
        <v>0</v>
      </c>
      <c r="AB77" s="2">
        <v>1</v>
      </c>
      <c r="AC77" s="2">
        <v>0</v>
      </c>
      <c r="AD77">
        <f t="shared" si="13"/>
        <v>1</v>
      </c>
      <c r="AE77" s="2">
        <v>0</v>
      </c>
      <c r="AF77" s="2">
        <v>0</v>
      </c>
      <c r="AG77" s="2">
        <v>1</v>
      </c>
      <c r="AH77" s="2">
        <v>0</v>
      </c>
      <c r="AI77" s="2">
        <v>0</v>
      </c>
      <c r="AJ77" s="2">
        <v>0</v>
      </c>
      <c r="AK77" s="2">
        <v>1</v>
      </c>
      <c r="AL77" s="2">
        <v>1</v>
      </c>
      <c r="AM77">
        <f t="shared" si="14"/>
        <v>0</v>
      </c>
      <c r="AN77" t="s">
        <v>38</v>
      </c>
    </row>
    <row r="78" spans="1:40" x14ac:dyDescent="0.35">
      <c r="A78">
        <v>129</v>
      </c>
      <c r="B78" t="s">
        <v>18</v>
      </c>
      <c r="C78">
        <v>-0.04</v>
      </c>
      <c r="D78" s="2">
        <v>40</v>
      </c>
      <c r="E78" t="s">
        <v>62</v>
      </c>
      <c r="F78" t="s">
        <v>55</v>
      </c>
      <c r="G78" t="s">
        <v>166</v>
      </c>
      <c r="H78">
        <v>0</v>
      </c>
      <c r="I78" s="13">
        <v>0.25</v>
      </c>
      <c r="J78">
        <v>1</v>
      </c>
      <c r="K78" s="2">
        <v>3</v>
      </c>
      <c r="L78">
        <v>5</v>
      </c>
      <c r="M78" s="2">
        <f t="shared" si="8"/>
        <v>2</v>
      </c>
      <c r="N78">
        <v>2</v>
      </c>
      <c r="O78">
        <v>2</v>
      </c>
      <c r="P78">
        <f t="shared" si="9"/>
        <v>0</v>
      </c>
      <c r="Q78">
        <v>2</v>
      </c>
      <c r="R78">
        <v>2</v>
      </c>
      <c r="S78">
        <f t="shared" si="10"/>
        <v>0</v>
      </c>
      <c r="T78">
        <v>1</v>
      </c>
      <c r="U78">
        <v>1</v>
      </c>
      <c r="V78">
        <f t="shared" si="11"/>
        <v>0</v>
      </c>
      <c r="W78">
        <v>2</v>
      </c>
      <c r="X78">
        <v>2</v>
      </c>
      <c r="Y78">
        <f t="shared" si="12"/>
        <v>0</v>
      </c>
      <c r="Z78">
        <f t="shared" si="15"/>
        <v>0</v>
      </c>
      <c r="AA78" s="2">
        <v>0</v>
      </c>
      <c r="AB78" s="2">
        <v>1</v>
      </c>
      <c r="AC78" s="2">
        <v>0</v>
      </c>
      <c r="AD78">
        <f t="shared" si="13"/>
        <v>1</v>
      </c>
      <c r="AE78" s="2">
        <v>1</v>
      </c>
      <c r="AF78" s="2">
        <v>1</v>
      </c>
      <c r="AG78" s="2">
        <v>0</v>
      </c>
      <c r="AH78" s="2">
        <v>1</v>
      </c>
      <c r="AI78" s="2">
        <v>0</v>
      </c>
      <c r="AJ78" s="2">
        <v>1</v>
      </c>
      <c r="AK78" s="2">
        <v>1</v>
      </c>
      <c r="AL78" s="2">
        <v>0</v>
      </c>
      <c r="AM78">
        <f t="shared" si="14"/>
        <v>0</v>
      </c>
      <c r="AN78" t="s">
        <v>136</v>
      </c>
    </row>
    <row r="79" spans="1:40" x14ac:dyDescent="0.35">
      <c r="A79">
        <v>130</v>
      </c>
      <c r="B79" t="s">
        <v>18</v>
      </c>
      <c r="C79">
        <v>-0.04</v>
      </c>
      <c r="D79" s="2">
        <v>103</v>
      </c>
      <c r="E79" t="s">
        <v>62</v>
      </c>
      <c r="F79" t="s">
        <v>53</v>
      </c>
      <c r="G79" t="s">
        <v>166</v>
      </c>
      <c r="H79">
        <v>0</v>
      </c>
      <c r="I79" s="13">
        <v>0.25</v>
      </c>
      <c r="J79">
        <v>1</v>
      </c>
      <c r="K79" s="2">
        <v>11</v>
      </c>
      <c r="L79">
        <v>10</v>
      </c>
      <c r="M79" s="2">
        <f t="shared" si="8"/>
        <v>-1</v>
      </c>
      <c r="N79">
        <v>7</v>
      </c>
      <c r="O79">
        <v>7</v>
      </c>
      <c r="P79">
        <f t="shared" si="9"/>
        <v>0</v>
      </c>
      <c r="Q79">
        <v>3</v>
      </c>
      <c r="R79">
        <v>3</v>
      </c>
      <c r="S79">
        <f t="shared" si="10"/>
        <v>0</v>
      </c>
      <c r="T79">
        <v>2</v>
      </c>
      <c r="U79">
        <v>2</v>
      </c>
      <c r="V79">
        <f t="shared" si="11"/>
        <v>0</v>
      </c>
      <c r="W79">
        <v>2</v>
      </c>
      <c r="X79">
        <v>2</v>
      </c>
      <c r="Y79">
        <f t="shared" si="12"/>
        <v>0</v>
      </c>
      <c r="Z79">
        <f t="shared" si="15"/>
        <v>0</v>
      </c>
      <c r="AA79" s="2">
        <v>0</v>
      </c>
      <c r="AB79" s="2">
        <v>1</v>
      </c>
      <c r="AC79" s="2">
        <v>0</v>
      </c>
      <c r="AD79">
        <f t="shared" si="13"/>
        <v>1</v>
      </c>
      <c r="AE79" s="2">
        <v>0</v>
      </c>
      <c r="AF79" s="2">
        <v>1</v>
      </c>
      <c r="AG79" s="2">
        <v>0</v>
      </c>
      <c r="AH79" s="2">
        <v>1</v>
      </c>
      <c r="AI79" s="2">
        <v>0</v>
      </c>
      <c r="AJ79" s="2">
        <v>1</v>
      </c>
      <c r="AK79" s="2">
        <v>1</v>
      </c>
      <c r="AL79" s="2">
        <v>1</v>
      </c>
      <c r="AM79">
        <f t="shared" si="14"/>
        <v>0</v>
      </c>
      <c r="AN79" t="s">
        <v>6</v>
      </c>
    </row>
    <row r="80" spans="1:40" x14ac:dyDescent="0.35">
      <c r="A80">
        <v>132</v>
      </c>
      <c r="B80" t="s">
        <v>16</v>
      </c>
      <c r="C80">
        <v>1.61</v>
      </c>
      <c r="D80" s="2">
        <v>7</v>
      </c>
      <c r="E80" t="s">
        <v>52</v>
      </c>
      <c r="F80" t="s">
        <v>55</v>
      </c>
      <c r="G80" t="s">
        <v>167</v>
      </c>
      <c r="H80">
        <v>1</v>
      </c>
      <c r="I80" s="13">
        <v>1</v>
      </c>
      <c r="J80">
        <v>1</v>
      </c>
      <c r="K80" s="2">
        <v>10</v>
      </c>
      <c r="L80">
        <v>10</v>
      </c>
      <c r="M80" s="2">
        <f t="shared" si="8"/>
        <v>0</v>
      </c>
      <c r="N80">
        <v>8</v>
      </c>
      <c r="O80">
        <v>2</v>
      </c>
      <c r="P80">
        <f t="shared" si="9"/>
        <v>-6</v>
      </c>
      <c r="Q80">
        <v>3</v>
      </c>
      <c r="R80">
        <v>3</v>
      </c>
      <c r="S80">
        <f t="shared" si="10"/>
        <v>0</v>
      </c>
      <c r="T80">
        <v>1</v>
      </c>
      <c r="U80">
        <v>3</v>
      </c>
      <c r="V80">
        <f t="shared" si="11"/>
        <v>2</v>
      </c>
      <c r="W80">
        <v>1</v>
      </c>
      <c r="X80">
        <v>2</v>
      </c>
      <c r="Y80">
        <f t="shared" si="12"/>
        <v>1</v>
      </c>
      <c r="Z80">
        <f t="shared" si="15"/>
        <v>0</v>
      </c>
      <c r="AA80" s="2">
        <v>0</v>
      </c>
      <c r="AB80" s="2">
        <v>1</v>
      </c>
      <c r="AC80" s="2">
        <v>0</v>
      </c>
      <c r="AD80">
        <f t="shared" si="13"/>
        <v>1</v>
      </c>
      <c r="AE80" s="2">
        <v>0</v>
      </c>
      <c r="AF80" s="2">
        <v>1</v>
      </c>
      <c r="AG80" s="2">
        <v>0</v>
      </c>
      <c r="AH80" s="2">
        <v>1</v>
      </c>
      <c r="AI80" s="2">
        <v>1</v>
      </c>
      <c r="AJ80" s="2">
        <v>1</v>
      </c>
      <c r="AK80" s="2">
        <v>0</v>
      </c>
      <c r="AL80" s="2">
        <v>0</v>
      </c>
      <c r="AM80">
        <f t="shared" si="14"/>
        <v>0</v>
      </c>
      <c r="AN80" t="s">
        <v>6</v>
      </c>
    </row>
    <row r="81" spans="1:40" x14ac:dyDescent="0.35">
      <c r="A81">
        <v>134</v>
      </c>
      <c r="B81" t="s">
        <v>18</v>
      </c>
      <c r="C81">
        <v>-0.04</v>
      </c>
      <c r="D81" s="2">
        <v>101</v>
      </c>
      <c r="E81" t="s">
        <v>162</v>
      </c>
      <c r="F81" t="s">
        <v>55</v>
      </c>
      <c r="G81" t="s">
        <v>166</v>
      </c>
      <c r="H81">
        <v>0</v>
      </c>
      <c r="I81" s="13">
        <v>0.25</v>
      </c>
      <c r="J81">
        <v>1</v>
      </c>
      <c r="K81" s="2">
        <v>2</v>
      </c>
      <c r="L81">
        <v>2</v>
      </c>
      <c r="M81" s="2">
        <f t="shared" si="8"/>
        <v>0</v>
      </c>
      <c r="N81">
        <v>7</v>
      </c>
      <c r="O81">
        <v>6</v>
      </c>
      <c r="P81">
        <f t="shared" si="9"/>
        <v>-1</v>
      </c>
      <c r="Q81">
        <v>1</v>
      </c>
      <c r="R81">
        <v>1</v>
      </c>
      <c r="S81">
        <f t="shared" si="10"/>
        <v>0</v>
      </c>
      <c r="T81">
        <v>1</v>
      </c>
      <c r="U81">
        <v>1</v>
      </c>
      <c r="V81">
        <f t="shared" si="11"/>
        <v>0</v>
      </c>
      <c r="W81">
        <v>2</v>
      </c>
      <c r="X81">
        <v>2</v>
      </c>
      <c r="Y81">
        <f t="shared" si="12"/>
        <v>0</v>
      </c>
      <c r="Z81">
        <f t="shared" si="15"/>
        <v>0</v>
      </c>
      <c r="AA81" s="2">
        <v>0</v>
      </c>
      <c r="AB81" s="2">
        <v>0</v>
      </c>
      <c r="AC81" s="2">
        <v>0</v>
      </c>
      <c r="AD81">
        <f t="shared" si="13"/>
        <v>0</v>
      </c>
      <c r="AE81" s="2">
        <v>0</v>
      </c>
      <c r="AF81" s="2">
        <v>0</v>
      </c>
      <c r="AG81" s="2">
        <v>0</v>
      </c>
      <c r="AH81" s="2">
        <v>0</v>
      </c>
      <c r="AI81" s="2">
        <v>0</v>
      </c>
      <c r="AJ81" s="2">
        <v>0</v>
      </c>
      <c r="AK81" s="2">
        <v>0</v>
      </c>
      <c r="AL81" s="2">
        <v>0</v>
      </c>
      <c r="AM81">
        <f t="shared" si="14"/>
        <v>1</v>
      </c>
      <c r="AN81" t="s">
        <v>140</v>
      </c>
    </row>
    <row r="82" spans="1:40" x14ac:dyDescent="0.35">
      <c r="A82">
        <v>135</v>
      </c>
      <c r="B82" t="s">
        <v>18</v>
      </c>
      <c r="C82">
        <v>-0.04</v>
      </c>
      <c r="D82" s="2">
        <v>100</v>
      </c>
      <c r="E82" t="s">
        <v>160</v>
      </c>
      <c r="F82" t="s">
        <v>59</v>
      </c>
      <c r="G82" t="s">
        <v>167</v>
      </c>
      <c r="H82">
        <v>0</v>
      </c>
      <c r="I82" s="13">
        <v>0.5</v>
      </c>
      <c r="J82">
        <v>1</v>
      </c>
      <c r="K82" s="2">
        <v>2</v>
      </c>
      <c r="L82">
        <v>3</v>
      </c>
      <c r="M82" s="2">
        <f t="shared" si="8"/>
        <v>1</v>
      </c>
      <c r="N82">
        <v>8</v>
      </c>
      <c r="O82">
        <v>8</v>
      </c>
      <c r="P82">
        <f t="shared" si="9"/>
        <v>0</v>
      </c>
      <c r="Q82">
        <v>3</v>
      </c>
      <c r="R82">
        <v>3</v>
      </c>
      <c r="S82">
        <f t="shared" si="10"/>
        <v>0</v>
      </c>
      <c r="T82">
        <v>1</v>
      </c>
      <c r="U82">
        <v>2</v>
      </c>
      <c r="V82">
        <f t="shared" si="11"/>
        <v>1</v>
      </c>
      <c r="W82">
        <v>1</v>
      </c>
      <c r="X82">
        <v>2</v>
      </c>
      <c r="Y82">
        <f t="shared" si="12"/>
        <v>1</v>
      </c>
      <c r="Z82">
        <f t="shared" si="15"/>
        <v>0</v>
      </c>
      <c r="AA82" s="2">
        <v>0</v>
      </c>
      <c r="AB82" s="2">
        <v>1</v>
      </c>
      <c r="AC82" s="2">
        <v>0</v>
      </c>
      <c r="AD82">
        <f t="shared" si="13"/>
        <v>1</v>
      </c>
      <c r="AE82" s="2">
        <v>0</v>
      </c>
      <c r="AF82" s="2">
        <v>1</v>
      </c>
      <c r="AG82" s="2">
        <v>0</v>
      </c>
      <c r="AH82" s="2">
        <v>1</v>
      </c>
      <c r="AI82" s="2">
        <v>0</v>
      </c>
      <c r="AJ82" s="2">
        <v>0</v>
      </c>
      <c r="AK82" s="2">
        <v>0</v>
      </c>
      <c r="AL82" s="2">
        <v>0</v>
      </c>
      <c r="AM82">
        <f t="shared" si="14"/>
        <v>0</v>
      </c>
      <c r="AN82" t="s">
        <v>136</v>
      </c>
    </row>
    <row r="83" spans="1:40" x14ac:dyDescent="0.35">
      <c r="A83">
        <v>136</v>
      </c>
      <c r="B83" t="s">
        <v>18</v>
      </c>
      <c r="C83">
        <v>-0.04</v>
      </c>
      <c r="D83" s="2">
        <v>40</v>
      </c>
      <c r="E83" t="s">
        <v>160</v>
      </c>
      <c r="F83" t="s">
        <v>53</v>
      </c>
      <c r="G83" t="s">
        <v>167</v>
      </c>
      <c r="H83">
        <v>0</v>
      </c>
      <c r="I83" s="13">
        <v>0.75</v>
      </c>
      <c r="J83">
        <v>1</v>
      </c>
      <c r="K83" s="2">
        <v>3</v>
      </c>
      <c r="L83">
        <v>3</v>
      </c>
      <c r="M83" s="2">
        <f t="shared" si="8"/>
        <v>0</v>
      </c>
      <c r="N83">
        <v>10</v>
      </c>
      <c r="O83">
        <v>8</v>
      </c>
      <c r="P83">
        <f t="shared" si="9"/>
        <v>-2</v>
      </c>
      <c r="Q83">
        <v>3</v>
      </c>
      <c r="R83">
        <v>3</v>
      </c>
      <c r="S83">
        <f t="shared" si="10"/>
        <v>0</v>
      </c>
      <c r="T83">
        <v>3</v>
      </c>
      <c r="U83">
        <v>4</v>
      </c>
      <c r="V83">
        <f t="shared" si="11"/>
        <v>1</v>
      </c>
      <c r="W83">
        <v>1</v>
      </c>
      <c r="X83">
        <v>1</v>
      </c>
      <c r="Y83">
        <f t="shared" si="12"/>
        <v>0</v>
      </c>
      <c r="Z83">
        <f t="shared" si="15"/>
        <v>0</v>
      </c>
      <c r="AA83" s="2">
        <v>0</v>
      </c>
      <c r="AB83" s="2">
        <v>0</v>
      </c>
      <c r="AC83" s="2">
        <v>0</v>
      </c>
      <c r="AD83">
        <f t="shared" si="13"/>
        <v>0</v>
      </c>
      <c r="AE83" s="2">
        <v>0</v>
      </c>
      <c r="AF83" s="2">
        <v>1</v>
      </c>
      <c r="AG83" s="2">
        <v>0</v>
      </c>
      <c r="AH83" s="2">
        <v>1</v>
      </c>
      <c r="AI83" s="2">
        <v>0</v>
      </c>
      <c r="AJ83" s="2">
        <v>0</v>
      </c>
      <c r="AK83" s="2">
        <v>1</v>
      </c>
      <c r="AL83" s="2">
        <v>0</v>
      </c>
      <c r="AM83">
        <f t="shared" si="14"/>
        <v>0</v>
      </c>
      <c r="AN83" t="s">
        <v>6</v>
      </c>
    </row>
    <row r="84" spans="1:40" x14ac:dyDescent="0.35">
      <c r="A84">
        <v>137</v>
      </c>
      <c r="B84" t="s">
        <v>18</v>
      </c>
      <c r="C84">
        <v>-0.04</v>
      </c>
      <c r="D84" s="2">
        <v>101</v>
      </c>
      <c r="E84" t="s">
        <v>160</v>
      </c>
      <c r="F84" t="s">
        <v>53</v>
      </c>
      <c r="G84" t="s">
        <v>167</v>
      </c>
      <c r="H84">
        <v>0</v>
      </c>
      <c r="I84" s="13">
        <v>1</v>
      </c>
      <c r="J84">
        <v>1</v>
      </c>
      <c r="K84" s="2">
        <v>2</v>
      </c>
      <c r="L84">
        <v>2</v>
      </c>
      <c r="M84" s="2">
        <f t="shared" si="8"/>
        <v>0</v>
      </c>
      <c r="N84">
        <v>5</v>
      </c>
      <c r="O84">
        <v>4</v>
      </c>
      <c r="P84">
        <f t="shared" si="9"/>
        <v>-1</v>
      </c>
      <c r="Q84">
        <v>3</v>
      </c>
      <c r="R84">
        <v>3</v>
      </c>
      <c r="S84">
        <f t="shared" si="10"/>
        <v>0</v>
      </c>
      <c r="T84">
        <v>3</v>
      </c>
      <c r="U84">
        <v>3</v>
      </c>
      <c r="V84">
        <f t="shared" si="11"/>
        <v>0</v>
      </c>
      <c r="W84">
        <v>1</v>
      </c>
      <c r="X84">
        <v>1</v>
      </c>
      <c r="Y84">
        <f t="shared" si="12"/>
        <v>0</v>
      </c>
      <c r="Z84">
        <f t="shared" si="15"/>
        <v>0</v>
      </c>
      <c r="AA84" s="2">
        <v>0</v>
      </c>
      <c r="AB84" s="2">
        <v>1</v>
      </c>
      <c r="AC84" s="2">
        <v>0</v>
      </c>
      <c r="AD84">
        <f t="shared" si="13"/>
        <v>1</v>
      </c>
      <c r="AE84" s="2">
        <v>1</v>
      </c>
      <c r="AF84" s="2">
        <v>1</v>
      </c>
      <c r="AG84" s="2">
        <v>0</v>
      </c>
      <c r="AH84" s="2">
        <v>1</v>
      </c>
      <c r="AI84" s="2">
        <v>0</v>
      </c>
      <c r="AJ84" s="2">
        <v>0</v>
      </c>
      <c r="AK84" s="2">
        <v>1</v>
      </c>
      <c r="AL84" s="2">
        <v>1</v>
      </c>
      <c r="AM84">
        <f t="shared" si="14"/>
        <v>0</v>
      </c>
      <c r="AN84" t="s">
        <v>136</v>
      </c>
    </row>
    <row r="85" spans="1:40" x14ac:dyDescent="0.35">
      <c r="A85">
        <v>139</v>
      </c>
      <c r="B85" t="s">
        <v>16</v>
      </c>
      <c r="C85">
        <v>1.61</v>
      </c>
      <c r="D85" s="2">
        <v>7</v>
      </c>
      <c r="E85" t="s">
        <v>52</v>
      </c>
      <c r="F85" t="s">
        <v>56</v>
      </c>
      <c r="G85" t="s">
        <v>167</v>
      </c>
      <c r="H85">
        <v>0</v>
      </c>
      <c r="I85" s="13">
        <v>1</v>
      </c>
      <c r="J85">
        <v>2</v>
      </c>
      <c r="K85" s="2">
        <v>9</v>
      </c>
      <c r="L85">
        <v>8</v>
      </c>
      <c r="M85" s="2">
        <f t="shared" si="8"/>
        <v>-1</v>
      </c>
      <c r="N85">
        <v>9</v>
      </c>
      <c r="O85">
        <v>6</v>
      </c>
      <c r="P85">
        <f t="shared" si="9"/>
        <v>-3</v>
      </c>
      <c r="Q85">
        <v>3</v>
      </c>
      <c r="R85">
        <v>3</v>
      </c>
      <c r="S85">
        <f t="shared" si="10"/>
        <v>0</v>
      </c>
      <c r="T85">
        <v>2</v>
      </c>
      <c r="U85">
        <v>1</v>
      </c>
      <c r="V85">
        <f t="shared" si="11"/>
        <v>-1</v>
      </c>
      <c r="W85">
        <v>1</v>
      </c>
      <c r="X85">
        <v>2</v>
      </c>
      <c r="Y85">
        <f t="shared" si="12"/>
        <v>1</v>
      </c>
      <c r="Z85">
        <f t="shared" si="15"/>
        <v>0</v>
      </c>
      <c r="AA85" s="2">
        <v>0</v>
      </c>
      <c r="AB85" s="2">
        <v>0</v>
      </c>
      <c r="AC85" s="2">
        <v>0</v>
      </c>
      <c r="AD85">
        <f t="shared" si="13"/>
        <v>0</v>
      </c>
      <c r="AE85" s="2">
        <v>1</v>
      </c>
      <c r="AF85" s="2">
        <v>1</v>
      </c>
      <c r="AG85" s="2">
        <v>0</v>
      </c>
      <c r="AH85" s="2">
        <v>1</v>
      </c>
      <c r="AI85" s="2">
        <v>0</v>
      </c>
      <c r="AJ85" s="2">
        <v>0</v>
      </c>
      <c r="AK85" s="2">
        <v>1</v>
      </c>
      <c r="AL85" s="2">
        <v>1</v>
      </c>
      <c r="AM85">
        <f t="shared" si="14"/>
        <v>0</v>
      </c>
      <c r="AN85" t="s">
        <v>6</v>
      </c>
    </row>
    <row r="86" spans="1:40" x14ac:dyDescent="0.35">
      <c r="A86">
        <v>140</v>
      </c>
      <c r="B86" t="s">
        <v>16</v>
      </c>
      <c r="C86">
        <v>1.61</v>
      </c>
      <c r="D86" s="2">
        <v>7</v>
      </c>
      <c r="E86" t="s">
        <v>52</v>
      </c>
      <c r="F86" t="s">
        <v>53</v>
      </c>
      <c r="G86" t="s">
        <v>167</v>
      </c>
      <c r="H86">
        <v>0</v>
      </c>
      <c r="I86" s="13">
        <v>0.25</v>
      </c>
      <c r="J86">
        <v>2</v>
      </c>
      <c r="K86" s="2">
        <v>4</v>
      </c>
      <c r="L86">
        <v>4</v>
      </c>
      <c r="M86" s="2">
        <f t="shared" si="8"/>
        <v>0</v>
      </c>
      <c r="N86">
        <v>9</v>
      </c>
      <c r="O86">
        <v>9</v>
      </c>
      <c r="P86">
        <f t="shared" si="9"/>
        <v>0</v>
      </c>
      <c r="Q86">
        <v>3</v>
      </c>
      <c r="R86">
        <v>3</v>
      </c>
      <c r="S86">
        <f t="shared" si="10"/>
        <v>0</v>
      </c>
      <c r="T86">
        <v>2</v>
      </c>
      <c r="U86">
        <v>3</v>
      </c>
      <c r="V86">
        <f t="shared" si="11"/>
        <v>1</v>
      </c>
      <c r="W86">
        <v>2</v>
      </c>
      <c r="X86">
        <v>2</v>
      </c>
      <c r="Y86">
        <f t="shared" si="12"/>
        <v>0</v>
      </c>
      <c r="Z86">
        <f t="shared" si="15"/>
        <v>0</v>
      </c>
      <c r="AA86" s="2">
        <v>0</v>
      </c>
      <c r="AB86" s="2">
        <v>0</v>
      </c>
      <c r="AC86" s="2">
        <v>0</v>
      </c>
      <c r="AD86">
        <f t="shared" si="13"/>
        <v>0</v>
      </c>
      <c r="AE86" s="2">
        <v>1</v>
      </c>
      <c r="AF86" s="2">
        <v>0</v>
      </c>
      <c r="AG86" s="2">
        <v>0</v>
      </c>
      <c r="AH86" s="2">
        <v>0</v>
      </c>
      <c r="AI86" s="2">
        <v>0</v>
      </c>
      <c r="AJ86" s="2">
        <v>0</v>
      </c>
      <c r="AK86" s="2">
        <v>0</v>
      </c>
      <c r="AL86" s="2">
        <v>0</v>
      </c>
      <c r="AM86">
        <f t="shared" si="14"/>
        <v>0</v>
      </c>
      <c r="AN86" t="s">
        <v>138</v>
      </c>
    </row>
    <row r="87" spans="1:40" x14ac:dyDescent="0.35">
      <c r="A87">
        <v>141</v>
      </c>
      <c r="B87" t="s">
        <v>16</v>
      </c>
      <c r="C87">
        <v>1.61</v>
      </c>
      <c r="D87" s="2">
        <v>17</v>
      </c>
      <c r="E87" t="s">
        <v>52</v>
      </c>
      <c r="F87" t="s">
        <v>53</v>
      </c>
      <c r="G87" t="s">
        <v>166</v>
      </c>
      <c r="H87">
        <v>0</v>
      </c>
      <c r="I87" s="13">
        <v>0.5</v>
      </c>
      <c r="J87">
        <v>2</v>
      </c>
      <c r="K87" s="2">
        <v>3</v>
      </c>
      <c r="L87">
        <v>1</v>
      </c>
      <c r="M87" s="2">
        <f t="shared" si="8"/>
        <v>-2</v>
      </c>
      <c r="N87">
        <v>8</v>
      </c>
      <c r="O87">
        <v>3</v>
      </c>
      <c r="P87">
        <f t="shared" si="9"/>
        <v>-5</v>
      </c>
      <c r="Q87">
        <v>1</v>
      </c>
      <c r="R87">
        <v>1</v>
      </c>
      <c r="S87">
        <f t="shared" si="10"/>
        <v>0</v>
      </c>
      <c r="T87">
        <v>3</v>
      </c>
      <c r="U87">
        <v>4</v>
      </c>
      <c r="V87">
        <f t="shared" si="11"/>
        <v>1</v>
      </c>
      <c r="W87">
        <v>2</v>
      </c>
      <c r="X87">
        <v>2</v>
      </c>
      <c r="Y87">
        <f t="shared" si="12"/>
        <v>0</v>
      </c>
      <c r="Z87">
        <f t="shared" si="15"/>
        <v>0</v>
      </c>
      <c r="AA87" s="2">
        <v>1</v>
      </c>
      <c r="AB87" s="2">
        <v>1</v>
      </c>
      <c r="AC87" s="2">
        <v>0</v>
      </c>
      <c r="AD87">
        <f t="shared" si="13"/>
        <v>1</v>
      </c>
      <c r="AE87" s="2">
        <v>1</v>
      </c>
      <c r="AF87" s="2">
        <v>1</v>
      </c>
      <c r="AG87" s="2">
        <v>0</v>
      </c>
      <c r="AH87" s="2">
        <v>1</v>
      </c>
      <c r="AI87" s="2">
        <v>0</v>
      </c>
      <c r="AJ87" s="2">
        <v>0</v>
      </c>
      <c r="AK87" s="2">
        <v>0</v>
      </c>
      <c r="AL87" s="2">
        <v>1</v>
      </c>
      <c r="AM87">
        <f t="shared" si="14"/>
        <v>0</v>
      </c>
      <c r="AN87" t="s">
        <v>6</v>
      </c>
    </row>
    <row r="88" spans="1:40" x14ac:dyDescent="0.35">
      <c r="A88">
        <v>142</v>
      </c>
      <c r="B88" t="s">
        <v>18</v>
      </c>
      <c r="C88">
        <v>-0.04</v>
      </c>
      <c r="D88" s="2">
        <v>103</v>
      </c>
      <c r="E88" t="s">
        <v>62</v>
      </c>
      <c r="F88" t="s">
        <v>53</v>
      </c>
      <c r="G88" t="s">
        <v>166</v>
      </c>
      <c r="H88">
        <v>0</v>
      </c>
      <c r="I88" s="13">
        <v>0.25</v>
      </c>
      <c r="J88">
        <v>1</v>
      </c>
      <c r="K88" s="2">
        <v>1</v>
      </c>
      <c r="L88">
        <v>2</v>
      </c>
      <c r="M88" s="2">
        <f t="shared" si="8"/>
        <v>1</v>
      </c>
      <c r="N88">
        <v>2</v>
      </c>
      <c r="O88">
        <v>4</v>
      </c>
      <c r="P88">
        <f t="shared" si="9"/>
        <v>2</v>
      </c>
      <c r="Q88">
        <v>1</v>
      </c>
      <c r="R88">
        <v>2</v>
      </c>
      <c r="S88">
        <f t="shared" si="10"/>
        <v>1</v>
      </c>
      <c r="T88">
        <v>2</v>
      </c>
      <c r="U88">
        <v>2</v>
      </c>
      <c r="V88">
        <f t="shared" si="11"/>
        <v>0</v>
      </c>
      <c r="W88">
        <v>2</v>
      </c>
      <c r="X88">
        <v>1</v>
      </c>
      <c r="Y88">
        <f t="shared" si="12"/>
        <v>-1</v>
      </c>
      <c r="Z88">
        <f t="shared" si="15"/>
        <v>1</v>
      </c>
      <c r="AA88" s="2">
        <v>0</v>
      </c>
      <c r="AB88" s="2">
        <v>0</v>
      </c>
      <c r="AC88" s="2">
        <v>0</v>
      </c>
      <c r="AD88">
        <f t="shared" si="13"/>
        <v>0</v>
      </c>
      <c r="AE88" s="2">
        <v>0</v>
      </c>
      <c r="AF88" s="2">
        <v>1</v>
      </c>
      <c r="AG88" s="2">
        <v>0</v>
      </c>
      <c r="AH88" s="2">
        <v>1</v>
      </c>
      <c r="AI88" s="2">
        <v>1</v>
      </c>
      <c r="AJ88" s="2">
        <v>1</v>
      </c>
      <c r="AK88" s="2">
        <v>1</v>
      </c>
      <c r="AL88" s="2">
        <v>0</v>
      </c>
      <c r="AM88">
        <f t="shared" si="14"/>
        <v>0</v>
      </c>
      <c r="AN88" t="s">
        <v>47</v>
      </c>
    </row>
    <row r="89" spans="1:40" x14ac:dyDescent="0.35">
      <c r="A89">
        <v>144</v>
      </c>
      <c r="B89" t="s">
        <v>127</v>
      </c>
      <c r="C89" s="9">
        <v>1.81</v>
      </c>
      <c r="D89" s="2">
        <v>56</v>
      </c>
      <c r="E89" t="s">
        <v>61</v>
      </c>
      <c r="F89" t="s">
        <v>53</v>
      </c>
      <c r="G89" t="s">
        <v>166</v>
      </c>
      <c r="H89">
        <v>0</v>
      </c>
      <c r="I89" s="13">
        <v>0.25</v>
      </c>
      <c r="J89">
        <v>1</v>
      </c>
      <c r="K89" s="2">
        <v>3</v>
      </c>
      <c r="L89">
        <v>3</v>
      </c>
      <c r="M89" s="2">
        <f t="shared" si="8"/>
        <v>0</v>
      </c>
      <c r="N89">
        <v>7</v>
      </c>
      <c r="O89">
        <v>7</v>
      </c>
      <c r="P89">
        <f t="shared" si="9"/>
        <v>0</v>
      </c>
      <c r="Q89">
        <v>3</v>
      </c>
      <c r="R89">
        <v>3</v>
      </c>
      <c r="S89">
        <f t="shared" si="10"/>
        <v>0</v>
      </c>
      <c r="T89">
        <v>3</v>
      </c>
      <c r="U89">
        <v>2</v>
      </c>
      <c r="V89">
        <f t="shared" si="11"/>
        <v>-1</v>
      </c>
      <c r="W89">
        <v>1</v>
      </c>
      <c r="X89">
        <v>1</v>
      </c>
      <c r="Y89">
        <f t="shared" si="12"/>
        <v>0</v>
      </c>
      <c r="Z89">
        <f t="shared" si="15"/>
        <v>0</v>
      </c>
      <c r="AA89" s="2">
        <v>0</v>
      </c>
      <c r="AB89" s="2">
        <v>0</v>
      </c>
      <c r="AC89" s="2">
        <v>0</v>
      </c>
      <c r="AD89">
        <f t="shared" si="13"/>
        <v>0</v>
      </c>
      <c r="AE89" s="2">
        <v>0</v>
      </c>
      <c r="AF89" s="2">
        <v>1</v>
      </c>
      <c r="AG89" s="2">
        <v>0</v>
      </c>
      <c r="AH89" s="2">
        <v>1</v>
      </c>
      <c r="AI89" s="2">
        <v>0</v>
      </c>
      <c r="AJ89" s="2">
        <v>0</v>
      </c>
      <c r="AK89" s="2">
        <v>0</v>
      </c>
      <c r="AL89" s="2">
        <v>1</v>
      </c>
      <c r="AM89">
        <f t="shared" si="14"/>
        <v>0</v>
      </c>
      <c r="AN89" t="s">
        <v>43</v>
      </c>
    </row>
    <row r="90" spans="1:40" x14ac:dyDescent="0.35">
      <c r="A90">
        <v>145</v>
      </c>
      <c r="B90" t="s">
        <v>16</v>
      </c>
      <c r="C90">
        <v>1.61</v>
      </c>
      <c r="D90" s="5">
        <v>7</v>
      </c>
      <c r="E90" t="s">
        <v>160</v>
      </c>
      <c r="F90" t="s">
        <v>59</v>
      </c>
      <c r="G90" t="s">
        <v>166</v>
      </c>
      <c r="H90">
        <v>0</v>
      </c>
      <c r="I90" s="13">
        <v>0.75</v>
      </c>
      <c r="J90">
        <v>2</v>
      </c>
      <c r="K90" s="2">
        <v>13</v>
      </c>
      <c r="L90">
        <v>12</v>
      </c>
      <c r="M90" s="2">
        <f t="shared" ref="M90:M139" si="16">L90-K90</f>
        <v>-1</v>
      </c>
      <c r="N90">
        <v>9</v>
      </c>
      <c r="O90">
        <v>6</v>
      </c>
      <c r="P90">
        <f t="shared" ref="P90:P139" si="17">O90-N90</f>
        <v>-3</v>
      </c>
      <c r="Q90">
        <v>3</v>
      </c>
      <c r="R90">
        <v>3</v>
      </c>
      <c r="S90">
        <f t="shared" ref="S90:S139" si="18">R90-Q90</f>
        <v>0</v>
      </c>
      <c r="T90">
        <v>2</v>
      </c>
      <c r="U90">
        <v>1</v>
      </c>
      <c r="V90">
        <f t="shared" ref="V90:V139" si="19">U90-T90</f>
        <v>-1</v>
      </c>
      <c r="W90">
        <v>2</v>
      </c>
      <c r="X90">
        <v>1</v>
      </c>
      <c r="Y90">
        <f t="shared" ref="Y90:Y139" si="20">X90-W90</f>
        <v>-1</v>
      </c>
      <c r="Z90">
        <f t="shared" si="15"/>
        <v>1</v>
      </c>
      <c r="AA90" s="2">
        <v>0</v>
      </c>
      <c r="AB90" s="2">
        <v>0</v>
      </c>
      <c r="AC90" s="2">
        <v>1</v>
      </c>
      <c r="AD90">
        <f t="shared" ref="AD90:AD139" si="21">IF(AB90+AC90&gt;0,1,0)</f>
        <v>1</v>
      </c>
      <c r="AE90" s="2">
        <v>0</v>
      </c>
      <c r="AF90" s="2">
        <v>1</v>
      </c>
      <c r="AG90" s="2">
        <v>0</v>
      </c>
      <c r="AH90" s="2">
        <v>1</v>
      </c>
      <c r="AI90" s="2">
        <v>0</v>
      </c>
      <c r="AJ90" s="2">
        <v>1</v>
      </c>
      <c r="AK90" s="2">
        <v>1</v>
      </c>
      <c r="AL90" s="2">
        <v>1</v>
      </c>
      <c r="AM90">
        <f t="shared" ref="AM90:AM139" si="22">IF(AA90+AD90+AE90+AF90+AH90+AK90+AL90=0,1,0)</f>
        <v>0</v>
      </c>
      <c r="AN90" s="9" t="s">
        <v>39</v>
      </c>
    </row>
    <row r="91" spans="1:40" x14ac:dyDescent="0.35">
      <c r="A91">
        <v>147</v>
      </c>
      <c r="B91" t="s">
        <v>18</v>
      </c>
      <c r="C91">
        <v>-0.04</v>
      </c>
      <c r="D91" s="2">
        <v>13</v>
      </c>
      <c r="E91" t="s">
        <v>62</v>
      </c>
      <c r="F91" t="s">
        <v>59</v>
      </c>
      <c r="G91" t="s">
        <v>166</v>
      </c>
      <c r="H91">
        <v>0</v>
      </c>
      <c r="I91" s="13">
        <v>0.25</v>
      </c>
      <c r="J91">
        <v>1</v>
      </c>
      <c r="K91" s="2">
        <v>1</v>
      </c>
      <c r="L91">
        <v>1</v>
      </c>
      <c r="M91" s="2">
        <f t="shared" si="16"/>
        <v>0</v>
      </c>
      <c r="N91">
        <v>2</v>
      </c>
      <c r="O91">
        <v>2</v>
      </c>
      <c r="P91">
        <f t="shared" si="17"/>
        <v>0</v>
      </c>
      <c r="Q91">
        <v>1</v>
      </c>
      <c r="R91">
        <v>1</v>
      </c>
      <c r="S91">
        <f t="shared" si="18"/>
        <v>0</v>
      </c>
      <c r="T91">
        <v>1</v>
      </c>
      <c r="U91">
        <v>1</v>
      </c>
      <c r="V91">
        <f t="shared" si="19"/>
        <v>0</v>
      </c>
      <c r="AA91" s="2">
        <v>0</v>
      </c>
      <c r="AB91" s="2">
        <v>1</v>
      </c>
      <c r="AC91" s="2">
        <v>0</v>
      </c>
      <c r="AD91">
        <f t="shared" si="21"/>
        <v>1</v>
      </c>
      <c r="AE91" s="2">
        <v>0</v>
      </c>
      <c r="AF91" s="2">
        <v>1</v>
      </c>
      <c r="AG91" s="2">
        <v>0</v>
      </c>
      <c r="AH91" s="2">
        <v>1</v>
      </c>
      <c r="AI91" s="2">
        <v>1</v>
      </c>
      <c r="AJ91" s="2">
        <v>1</v>
      </c>
      <c r="AK91" s="2">
        <v>1</v>
      </c>
      <c r="AL91" s="2">
        <v>0</v>
      </c>
      <c r="AM91">
        <f t="shared" si="22"/>
        <v>0</v>
      </c>
      <c r="AN91" t="s">
        <v>136</v>
      </c>
    </row>
    <row r="92" spans="1:40" x14ac:dyDescent="0.35">
      <c r="A92">
        <v>148</v>
      </c>
      <c r="B92" t="s">
        <v>127</v>
      </c>
      <c r="C92" s="9">
        <v>1.81</v>
      </c>
      <c r="D92" s="2">
        <v>89</v>
      </c>
      <c r="E92" t="s">
        <v>61</v>
      </c>
      <c r="F92" t="s">
        <v>53</v>
      </c>
      <c r="G92" t="s">
        <v>166</v>
      </c>
      <c r="H92">
        <v>0</v>
      </c>
      <c r="I92" s="13">
        <v>0.25</v>
      </c>
      <c r="J92">
        <v>1</v>
      </c>
      <c r="K92" s="2">
        <v>3</v>
      </c>
      <c r="L92">
        <v>3</v>
      </c>
      <c r="M92" s="2">
        <f t="shared" si="16"/>
        <v>0</v>
      </c>
      <c r="N92">
        <v>8</v>
      </c>
      <c r="O92">
        <v>8</v>
      </c>
      <c r="P92">
        <f t="shared" si="17"/>
        <v>0</v>
      </c>
      <c r="Q92">
        <v>1</v>
      </c>
      <c r="R92">
        <v>1</v>
      </c>
      <c r="S92">
        <f t="shared" si="18"/>
        <v>0</v>
      </c>
      <c r="T92">
        <v>1</v>
      </c>
      <c r="U92">
        <v>2</v>
      </c>
      <c r="V92">
        <f t="shared" si="19"/>
        <v>1</v>
      </c>
      <c r="W92">
        <v>0</v>
      </c>
      <c r="X92">
        <v>0</v>
      </c>
      <c r="Y92">
        <f t="shared" si="20"/>
        <v>0</v>
      </c>
      <c r="Z92">
        <f t="shared" si="15"/>
        <v>1</v>
      </c>
      <c r="AA92" s="2">
        <v>0</v>
      </c>
      <c r="AB92" s="2">
        <v>0</v>
      </c>
      <c r="AC92" s="2">
        <v>0</v>
      </c>
      <c r="AD92">
        <f t="shared" si="21"/>
        <v>0</v>
      </c>
      <c r="AE92" s="2">
        <v>0</v>
      </c>
      <c r="AF92" s="2">
        <v>0</v>
      </c>
      <c r="AG92" s="2">
        <v>0</v>
      </c>
      <c r="AH92" s="2">
        <v>1</v>
      </c>
      <c r="AI92" s="2">
        <v>0</v>
      </c>
      <c r="AJ92" s="2">
        <v>0</v>
      </c>
      <c r="AK92" s="2">
        <v>0</v>
      </c>
      <c r="AL92" s="2">
        <v>1</v>
      </c>
      <c r="AM92">
        <f t="shared" si="22"/>
        <v>0</v>
      </c>
      <c r="AN92" t="s">
        <v>43</v>
      </c>
    </row>
    <row r="93" spans="1:40" x14ac:dyDescent="0.35">
      <c r="A93">
        <v>149</v>
      </c>
      <c r="B93" t="s">
        <v>18</v>
      </c>
      <c r="C93">
        <v>-0.04</v>
      </c>
      <c r="D93" s="2">
        <v>60</v>
      </c>
      <c r="E93" t="s">
        <v>62</v>
      </c>
      <c r="F93" t="s">
        <v>59</v>
      </c>
      <c r="G93" t="s">
        <v>166</v>
      </c>
      <c r="H93">
        <v>0</v>
      </c>
      <c r="I93" s="13">
        <v>0.25</v>
      </c>
      <c r="J93">
        <v>1</v>
      </c>
      <c r="K93" s="2">
        <v>6</v>
      </c>
      <c r="L93">
        <v>6</v>
      </c>
      <c r="M93" s="2">
        <f t="shared" si="16"/>
        <v>0</v>
      </c>
      <c r="N93">
        <v>6</v>
      </c>
      <c r="O93">
        <v>5</v>
      </c>
      <c r="P93">
        <f t="shared" si="17"/>
        <v>-1</v>
      </c>
      <c r="Q93">
        <v>2</v>
      </c>
      <c r="R93">
        <v>2</v>
      </c>
      <c r="S93">
        <f t="shared" si="18"/>
        <v>0</v>
      </c>
      <c r="T93">
        <v>3</v>
      </c>
      <c r="U93">
        <v>2</v>
      </c>
      <c r="V93">
        <f t="shared" si="19"/>
        <v>-1</v>
      </c>
      <c r="W93">
        <v>2</v>
      </c>
      <c r="X93">
        <v>2</v>
      </c>
      <c r="Y93">
        <f t="shared" si="20"/>
        <v>0</v>
      </c>
      <c r="Z93">
        <f t="shared" si="15"/>
        <v>0</v>
      </c>
      <c r="AA93" s="2">
        <v>0</v>
      </c>
      <c r="AB93" s="2">
        <v>0</v>
      </c>
      <c r="AC93" s="2">
        <v>0</v>
      </c>
      <c r="AD93">
        <f t="shared" si="21"/>
        <v>0</v>
      </c>
      <c r="AE93" s="2">
        <v>0</v>
      </c>
      <c r="AF93" s="2">
        <v>1</v>
      </c>
      <c r="AG93" s="2">
        <v>0</v>
      </c>
      <c r="AH93" s="2">
        <v>1</v>
      </c>
      <c r="AI93" s="2">
        <v>0</v>
      </c>
      <c r="AJ93" s="2">
        <v>0</v>
      </c>
      <c r="AK93" s="2">
        <v>1</v>
      </c>
      <c r="AL93" s="2">
        <v>0</v>
      </c>
      <c r="AM93">
        <f t="shared" si="22"/>
        <v>0</v>
      </c>
      <c r="AN93" t="s">
        <v>6</v>
      </c>
    </row>
    <row r="94" spans="1:40" x14ac:dyDescent="0.35">
      <c r="A94">
        <v>150</v>
      </c>
      <c r="B94" t="s">
        <v>127</v>
      </c>
      <c r="C94" s="9">
        <v>1.81</v>
      </c>
      <c r="D94" s="2">
        <v>47</v>
      </c>
      <c r="E94" t="s">
        <v>61</v>
      </c>
      <c r="F94" t="s">
        <v>53</v>
      </c>
      <c r="G94" t="s">
        <v>167</v>
      </c>
      <c r="H94">
        <v>0</v>
      </c>
      <c r="I94" s="13">
        <v>0.25</v>
      </c>
      <c r="J94">
        <v>1</v>
      </c>
      <c r="K94" s="2">
        <v>8</v>
      </c>
      <c r="L94">
        <v>8</v>
      </c>
      <c r="M94" s="2">
        <f t="shared" si="16"/>
        <v>0</v>
      </c>
      <c r="N94">
        <v>4</v>
      </c>
      <c r="O94">
        <v>4</v>
      </c>
      <c r="P94">
        <f t="shared" si="17"/>
        <v>0</v>
      </c>
      <c r="Q94">
        <v>1</v>
      </c>
      <c r="R94">
        <v>1</v>
      </c>
      <c r="S94">
        <f t="shared" si="18"/>
        <v>0</v>
      </c>
      <c r="T94">
        <v>1</v>
      </c>
      <c r="U94">
        <v>2</v>
      </c>
      <c r="V94">
        <f t="shared" si="19"/>
        <v>1</v>
      </c>
      <c r="W94">
        <v>1</v>
      </c>
      <c r="X94">
        <v>1</v>
      </c>
      <c r="Y94">
        <f t="shared" si="20"/>
        <v>0</v>
      </c>
      <c r="Z94">
        <f t="shared" si="15"/>
        <v>0</v>
      </c>
      <c r="AA94" s="2">
        <v>0</v>
      </c>
      <c r="AB94" s="2">
        <v>0</v>
      </c>
      <c r="AC94" s="2">
        <v>0</v>
      </c>
      <c r="AD94" s="2">
        <f t="shared" si="21"/>
        <v>0</v>
      </c>
      <c r="AE94" s="2">
        <v>0</v>
      </c>
      <c r="AF94" s="2">
        <v>1</v>
      </c>
      <c r="AG94" s="2">
        <v>0</v>
      </c>
      <c r="AH94" s="2">
        <v>1</v>
      </c>
      <c r="AI94" s="2">
        <v>0</v>
      </c>
      <c r="AJ94" s="2">
        <v>1</v>
      </c>
      <c r="AK94" s="2">
        <v>1</v>
      </c>
      <c r="AL94" s="2">
        <v>0</v>
      </c>
      <c r="AM94">
        <f t="shared" si="22"/>
        <v>0</v>
      </c>
      <c r="AN94" t="s">
        <v>6</v>
      </c>
    </row>
    <row r="95" spans="1:40" x14ac:dyDescent="0.35">
      <c r="A95">
        <v>151</v>
      </c>
      <c r="B95" t="s">
        <v>18</v>
      </c>
      <c r="C95">
        <v>-0.04</v>
      </c>
      <c r="D95" s="2">
        <v>138</v>
      </c>
      <c r="E95" t="s">
        <v>62</v>
      </c>
      <c r="F95" t="s">
        <v>55</v>
      </c>
      <c r="G95" t="s">
        <v>166</v>
      </c>
      <c r="H95">
        <v>0</v>
      </c>
      <c r="I95" s="13">
        <v>0.25</v>
      </c>
      <c r="J95">
        <v>1</v>
      </c>
      <c r="K95" s="2">
        <v>3</v>
      </c>
      <c r="L95">
        <v>3</v>
      </c>
      <c r="M95" s="2">
        <f t="shared" si="16"/>
        <v>0</v>
      </c>
      <c r="N95">
        <v>6</v>
      </c>
      <c r="O95">
        <v>6</v>
      </c>
      <c r="P95">
        <f t="shared" si="17"/>
        <v>0</v>
      </c>
      <c r="Q95">
        <v>1</v>
      </c>
      <c r="R95">
        <v>1</v>
      </c>
      <c r="S95">
        <f t="shared" si="18"/>
        <v>0</v>
      </c>
      <c r="T95">
        <v>2</v>
      </c>
      <c r="U95">
        <v>2</v>
      </c>
      <c r="V95">
        <f t="shared" si="19"/>
        <v>0</v>
      </c>
      <c r="W95">
        <v>2</v>
      </c>
      <c r="X95">
        <v>2</v>
      </c>
      <c r="Y95">
        <f t="shared" si="20"/>
        <v>0</v>
      </c>
      <c r="Z95">
        <f t="shared" si="15"/>
        <v>0</v>
      </c>
      <c r="AA95" s="2">
        <v>0</v>
      </c>
      <c r="AB95" s="2">
        <v>1</v>
      </c>
      <c r="AC95" s="2">
        <v>0</v>
      </c>
      <c r="AD95" s="2">
        <f t="shared" si="21"/>
        <v>1</v>
      </c>
      <c r="AE95" s="2">
        <v>0</v>
      </c>
      <c r="AF95" s="2">
        <v>1</v>
      </c>
      <c r="AG95" s="2">
        <v>0</v>
      </c>
      <c r="AH95" s="2">
        <v>0</v>
      </c>
      <c r="AI95" s="2">
        <v>1</v>
      </c>
      <c r="AJ95" s="2">
        <v>0</v>
      </c>
      <c r="AK95" s="2">
        <v>1</v>
      </c>
      <c r="AL95" s="2">
        <v>0</v>
      </c>
      <c r="AM95">
        <f t="shared" si="22"/>
        <v>0</v>
      </c>
      <c r="AN95" t="s">
        <v>6</v>
      </c>
    </row>
    <row r="96" spans="1:40" x14ac:dyDescent="0.35">
      <c r="A96">
        <v>152</v>
      </c>
      <c r="B96" t="s">
        <v>18</v>
      </c>
      <c r="C96">
        <v>-0.04</v>
      </c>
      <c r="D96" s="2">
        <v>60</v>
      </c>
      <c r="E96" t="s">
        <v>52</v>
      </c>
      <c r="F96" t="s">
        <v>59</v>
      </c>
      <c r="G96" t="s">
        <v>167</v>
      </c>
      <c r="H96">
        <v>0</v>
      </c>
      <c r="I96" s="13">
        <v>0.25</v>
      </c>
      <c r="J96">
        <v>1</v>
      </c>
      <c r="K96" s="2">
        <v>4</v>
      </c>
      <c r="L96">
        <v>5</v>
      </c>
      <c r="M96" s="2">
        <f t="shared" si="16"/>
        <v>1</v>
      </c>
      <c r="N96">
        <v>5</v>
      </c>
      <c r="O96">
        <v>5</v>
      </c>
      <c r="P96">
        <f t="shared" si="17"/>
        <v>0</v>
      </c>
      <c r="Q96">
        <v>2</v>
      </c>
      <c r="R96">
        <v>2</v>
      </c>
      <c r="S96">
        <f t="shared" si="18"/>
        <v>0</v>
      </c>
      <c r="T96">
        <v>2</v>
      </c>
      <c r="U96">
        <v>2</v>
      </c>
      <c r="V96">
        <f t="shared" si="19"/>
        <v>0</v>
      </c>
      <c r="W96">
        <v>1</v>
      </c>
      <c r="X96">
        <v>1</v>
      </c>
      <c r="Y96">
        <f t="shared" si="20"/>
        <v>0</v>
      </c>
      <c r="Z96">
        <f t="shared" si="15"/>
        <v>0</v>
      </c>
      <c r="AA96" s="2">
        <v>0</v>
      </c>
      <c r="AB96" s="2">
        <v>0</v>
      </c>
      <c r="AC96" s="2">
        <v>0</v>
      </c>
      <c r="AD96" s="2">
        <f t="shared" si="21"/>
        <v>0</v>
      </c>
      <c r="AE96" s="2">
        <v>0</v>
      </c>
      <c r="AF96" s="2">
        <v>0</v>
      </c>
      <c r="AG96" s="2">
        <v>0</v>
      </c>
      <c r="AH96" s="2">
        <v>0</v>
      </c>
      <c r="AI96" s="2">
        <v>0</v>
      </c>
      <c r="AJ96" s="2">
        <v>0</v>
      </c>
      <c r="AK96" s="2">
        <v>0</v>
      </c>
      <c r="AL96" s="2">
        <v>0</v>
      </c>
      <c r="AM96">
        <f t="shared" si="22"/>
        <v>1</v>
      </c>
      <c r="AN96" t="s">
        <v>140</v>
      </c>
    </row>
    <row r="97" spans="1:40" x14ac:dyDescent="0.35">
      <c r="A97">
        <v>153</v>
      </c>
      <c r="B97" t="s">
        <v>165</v>
      </c>
      <c r="C97">
        <v>1.47</v>
      </c>
      <c r="D97" s="2">
        <v>10</v>
      </c>
      <c r="E97" t="s">
        <v>162</v>
      </c>
      <c r="F97" t="s">
        <v>53</v>
      </c>
      <c r="G97" t="s">
        <v>167</v>
      </c>
      <c r="H97">
        <v>0</v>
      </c>
      <c r="I97" s="13">
        <v>0.25</v>
      </c>
      <c r="J97">
        <v>2</v>
      </c>
      <c r="K97" s="2">
        <v>16</v>
      </c>
      <c r="L97">
        <v>14</v>
      </c>
      <c r="M97" s="2">
        <f t="shared" si="16"/>
        <v>-2</v>
      </c>
      <c r="N97">
        <v>6</v>
      </c>
      <c r="O97">
        <v>6</v>
      </c>
      <c r="P97">
        <f t="shared" si="17"/>
        <v>0</v>
      </c>
      <c r="Q97">
        <v>2</v>
      </c>
      <c r="R97">
        <v>2</v>
      </c>
      <c r="S97">
        <f t="shared" si="18"/>
        <v>0</v>
      </c>
      <c r="T97">
        <v>2</v>
      </c>
      <c r="U97">
        <v>2</v>
      </c>
      <c r="V97">
        <f t="shared" si="19"/>
        <v>0</v>
      </c>
      <c r="W97">
        <v>1</v>
      </c>
      <c r="X97">
        <v>1</v>
      </c>
      <c r="Y97">
        <f t="shared" si="20"/>
        <v>0</v>
      </c>
      <c r="Z97">
        <f t="shared" si="15"/>
        <v>0</v>
      </c>
      <c r="AA97" s="2">
        <v>0</v>
      </c>
      <c r="AB97" s="2">
        <v>0</v>
      </c>
      <c r="AC97" s="2">
        <v>0</v>
      </c>
      <c r="AD97" s="2">
        <f t="shared" si="21"/>
        <v>0</v>
      </c>
      <c r="AE97" s="2">
        <v>0</v>
      </c>
      <c r="AF97" s="2">
        <v>0</v>
      </c>
      <c r="AG97" s="2">
        <v>0</v>
      </c>
      <c r="AH97" s="2">
        <v>0</v>
      </c>
      <c r="AI97" s="2">
        <v>0</v>
      </c>
      <c r="AJ97" s="2">
        <v>0</v>
      </c>
      <c r="AK97" s="2">
        <v>0</v>
      </c>
      <c r="AL97" s="2">
        <v>0</v>
      </c>
      <c r="AM97">
        <f t="shared" si="22"/>
        <v>1</v>
      </c>
      <c r="AN97" t="s">
        <v>140</v>
      </c>
    </row>
    <row r="98" spans="1:40" x14ac:dyDescent="0.35">
      <c r="A98">
        <v>158</v>
      </c>
      <c r="B98" t="s">
        <v>18</v>
      </c>
      <c r="C98">
        <v>-0.04</v>
      </c>
      <c r="D98" s="2">
        <v>16</v>
      </c>
      <c r="E98" t="s">
        <v>62</v>
      </c>
      <c r="F98" t="s">
        <v>59</v>
      </c>
      <c r="G98" t="s">
        <v>167</v>
      </c>
      <c r="H98">
        <v>0</v>
      </c>
      <c r="I98" s="13">
        <v>0.5</v>
      </c>
      <c r="J98">
        <v>1</v>
      </c>
      <c r="K98" s="2">
        <v>9</v>
      </c>
      <c r="L98">
        <v>12</v>
      </c>
      <c r="M98" s="2">
        <f t="shared" si="16"/>
        <v>3</v>
      </c>
      <c r="N98" s="9">
        <v>2</v>
      </c>
      <c r="O98" s="9">
        <v>6</v>
      </c>
      <c r="P98">
        <f t="shared" si="17"/>
        <v>4</v>
      </c>
      <c r="Q98" s="9">
        <v>3</v>
      </c>
      <c r="R98" s="9">
        <v>3</v>
      </c>
      <c r="S98">
        <f t="shared" si="18"/>
        <v>0</v>
      </c>
      <c r="T98">
        <v>3</v>
      </c>
      <c r="U98">
        <v>3</v>
      </c>
      <c r="V98">
        <f t="shared" si="19"/>
        <v>0</v>
      </c>
      <c r="W98">
        <v>1</v>
      </c>
      <c r="X98">
        <v>2</v>
      </c>
      <c r="Y98">
        <f t="shared" si="20"/>
        <v>1</v>
      </c>
      <c r="Z98">
        <f t="shared" si="15"/>
        <v>0</v>
      </c>
      <c r="AA98" s="2">
        <v>0</v>
      </c>
      <c r="AB98" s="2">
        <v>1</v>
      </c>
      <c r="AC98" s="2">
        <v>1</v>
      </c>
      <c r="AD98" s="2">
        <f t="shared" si="21"/>
        <v>1</v>
      </c>
      <c r="AE98" s="2">
        <v>1</v>
      </c>
      <c r="AF98" s="2">
        <v>1</v>
      </c>
      <c r="AG98" s="2">
        <v>0</v>
      </c>
      <c r="AH98" s="2">
        <v>1</v>
      </c>
      <c r="AI98" s="2">
        <v>0</v>
      </c>
      <c r="AJ98" s="2">
        <v>0</v>
      </c>
      <c r="AK98" s="2">
        <v>1</v>
      </c>
      <c r="AL98" s="2">
        <v>0</v>
      </c>
      <c r="AM98">
        <f t="shared" si="22"/>
        <v>0</v>
      </c>
      <c r="AN98" t="s">
        <v>138</v>
      </c>
    </row>
    <row r="99" spans="1:40" x14ac:dyDescent="0.35">
      <c r="A99">
        <v>159</v>
      </c>
      <c r="B99" t="s">
        <v>18</v>
      </c>
      <c r="C99">
        <v>-0.04</v>
      </c>
      <c r="D99" s="2">
        <v>93</v>
      </c>
      <c r="E99" t="s">
        <v>62</v>
      </c>
      <c r="F99" t="s">
        <v>53</v>
      </c>
      <c r="G99" t="s">
        <v>166</v>
      </c>
      <c r="H99">
        <v>0</v>
      </c>
      <c r="I99" s="13">
        <v>0.25</v>
      </c>
      <c r="J99">
        <v>1</v>
      </c>
      <c r="K99" s="2">
        <v>2</v>
      </c>
      <c r="L99">
        <v>2</v>
      </c>
      <c r="M99" s="2">
        <f t="shared" si="16"/>
        <v>0</v>
      </c>
      <c r="N99" s="9">
        <v>8</v>
      </c>
      <c r="O99" s="9">
        <v>7</v>
      </c>
      <c r="P99">
        <f t="shared" si="17"/>
        <v>-1</v>
      </c>
      <c r="Q99" s="9">
        <v>2</v>
      </c>
      <c r="R99" s="9">
        <v>2</v>
      </c>
      <c r="S99">
        <f t="shared" si="18"/>
        <v>0</v>
      </c>
      <c r="T99">
        <v>2</v>
      </c>
      <c r="U99">
        <v>4</v>
      </c>
      <c r="V99">
        <f t="shared" si="19"/>
        <v>2</v>
      </c>
      <c r="W99">
        <v>2</v>
      </c>
      <c r="X99">
        <v>2</v>
      </c>
      <c r="Y99">
        <f t="shared" si="20"/>
        <v>0</v>
      </c>
      <c r="Z99">
        <f t="shared" si="15"/>
        <v>0</v>
      </c>
      <c r="AA99" s="2">
        <v>1</v>
      </c>
      <c r="AB99" s="2">
        <v>0</v>
      </c>
      <c r="AC99" s="2">
        <v>1</v>
      </c>
      <c r="AD99" s="2">
        <f t="shared" si="21"/>
        <v>1</v>
      </c>
      <c r="AE99" s="2">
        <v>0</v>
      </c>
      <c r="AF99" s="2">
        <v>1</v>
      </c>
      <c r="AG99" s="2">
        <v>0</v>
      </c>
      <c r="AH99" s="2">
        <v>1</v>
      </c>
      <c r="AI99" s="2">
        <v>0</v>
      </c>
      <c r="AJ99" s="2">
        <v>1</v>
      </c>
      <c r="AK99" s="2">
        <v>1</v>
      </c>
      <c r="AL99" s="2">
        <v>0</v>
      </c>
      <c r="AM99">
        <f t="shared" si="22"/>
        <v>0</v>
      </c>
      <c r="AN99" t="s">
        <v>9</v>
      </c>
    </row>
    <row r="100" spans="1:40" x14ac:dyDescent="0.35">
      <c r="A100">
        <v>160</v>
      </c>
      <c r="B100" t="s">
        <v>18</v>
      </c>
      <c r="C100">
        <v>-0.04</v>
      </c>
      <c r="D100" s="5">
        <v>92</v>
      </c>
      <c r="E100" t="s">
        <v>62</v>
      </c>
      <c r="F100" t="s">
        <v>56</v>
      </c>
      <c r="G100" t="s">
        <v>166</v>
      </c>
      <c r="H100">
        <v>0</v>
      </c>
      <c r="I100" s="13">
        <v>0.5</v>
      </c>
      <c r="J100">
        <v>1</v>
      </c>
      <c r="K100" s="2">
        <v>5</v>
      </c>
      <c r="L100">
        <v>5</v>
      </c>
      <c r="M100" s="2">
        <f t="shared" si="16"/>
        <v>0</v>
      </c>
      <c r="N100" s="9">
        <v>3</v>
      </c>
      <c r="O100" s="9">
        <v>3</v>
      </c>
      <c r="P100">
        <f t="shared" si="17"/>
        <v>0</v>
      </c>
      <c r="Q100" s="9">
        <v>2</v>
      </c>
      <c r="R100" s="9">
        <v>2</v>
      </c>
      <c r="S100">
        <f t="shared" si="18"/>
        <v>0</v>
      </c>
      <c r="T100">
        <v>1</v>
      </c>
      <c r="U100">
        <v>1</v>
      </c>
      <c r="V100">
        <f t="shared" si="19"/>
        <v>0</v>
      </c>
      <c r="W100">
        <v>2</v>
      </c>
      <c r="X100">
        <v>1</v>
      </c>
      <c r="Y100">
        <f t="shared" si="20"/>
        <v>-1</v>
      </c>
      <c r="Z100">
        <f t="shared" si="15"/>
        <v>1</v>
      </c>
      <c r="AA100" s="2">
        <v>0</v>
      </c>
      <c r="AB100" s="2">
        <v>1</v>
      </c>
      <c r="AC100" s="2">
        <v>0</v>
      </c>
      <c r="AD100" s="2">
        <f t="shared" si="21"/>
        <v>1</v>
      </c>
      <c r="AE100" s="2">
        <v>0</v>
      </c>
      <c r="AF100" s="2">
        <v>1</v>
      </c>
      <c r="AG100" s="2">
        <v>0</v>
      </c>
      <c r="AH100" s="2">
        <v>1</v>
      </c>
      <c r="AI100" s="2">
        <v>0</v>
      </c>
      <c r="AJ100" s="2">
        <v>0</v>
      </c>
      <c r="AK100" s="2">
        <v>1</v>
      </c>
      <c r="AL100" s="2">
        <v>0</v>
      </c>
      <c r="AM100">
        <f t="shared" si="22"/>
        <v>0</v>
      </c>
      <c r="AN100" s="9" t="s">
        <v>39</v>
      </c>
    </row>
    <row r="101" spans="1:40" x14ac:dyDescent="0.35">
      <c r="A101">
        <v>161</v>
      </c>
      <c r="B101" t="s">
        <v>18</v>
      </c>
      <c r="C101">
        <v>-0.04</v>
      </c>
      <c r="D101" s="2">
        <v>100</v>
      </c>
      <c r="E101" t="s">
        <v>160</v>
      </c>
      <c r="F101" t="s">
        <v>59</v>
      </c>
      <c r="G101" t="s">
        <v>167</v>
      </c>
      <c r="H101">
        <v>0</v>
      </c>
      <c r="I101" s="13">
        <v>1</v>
      </c>
      <c r="J101">
        <v>1</v>
      </c>
      <c r="K101" s="2">
        <v>2</v>
      </c>
      <c r="L101">
        <v>2</v>
      </c>
      <c r="M101" s="2">
        <f t="shared" si="16"/>
        <v>0</v>
      </c>
      <c r="N101" s="9">
        <v>5</v>
      </c>
      <c r="O101" s="9">
        <v>4</v>
      </c>
      <c r="P101">
        <f t="shared" si="17"/>
        <v>-1</v>
      </c>
      <c r="Q101" s="9">
        <v>2</v>
      </c>
      <c r="R101" s="9">
        <v>2</v>
      </c>
      <c r="S101">
        <f t="shared" si="18"/>
        <v>0</v>
      </c>
      <c r="T101">
        <v>1</v>
      </c>
      <c r="U101">
        <v>1</v>
      </c>
      <c r="V101">
        <f t="shared" si="19"/>
        <v>0</v>
      </c>
      <c r="W101">
        <v>1</v>
      </c>
      <c r="X101">
        <v>1</v>
      </c>
      <c r="Y101">
        <f t="shared" si="20"/>
        <v>0</v>
      </c>
      <c r="Z101">
        <f t="shared" si="15"/>
        <v>0</v>
      </c>
      <c r="AA101" s="2">
        <v>0</v>
      </c>
      <c r="AB101" s="2">
        <v>0</v>
      </c>
      <c r="AC101" s="2">
        <v>0</v>
      </c>
      <c r="AD101" s="2">
        <f t="shared" si="21"/>
        <v>0</v>
      </c>
      <c r="AE101" s="2">
        <v>0</v>
      </c>
      <c r="AF101" s="2">
        <v>0</v>
      </c>
      <c r="AG101" s="2">
        <v>0</v>
      </c>
      <c r="AH101" s="2">
        <v>1</v>
      </c>
      <c r="AI101" s="2">
        <v>0</v>
      </c>
      <c r="AJ101" s="2">
        <v>0</v>
      </c>
      <c r="AK101" s="2">
        <v>1</v>
      </c>
      <c r="AL101" s="2">
        <v>1</v>
      </c>
      <c r="AM101">
        <f t="shared" si="22"/>
        <v>0</v>
      </c>
      <c r="AN101" t="s">
        <v>43</v>
      </c>
    </row>
    <row r="102" spans="1:40" x14ac:dyDescent="0.35">
      <c r="A102">
        <v>163</v>
      </c>
      <c r="B102" t="s">
        <v>14</v>
      </c>
      <c r="C102">
        <v>1.42</v>
      </c>
      <c r="D102" s="2">
        <v>60</v>
      </c>
      <c r="E102" t="s">
        <v>160</v>
      </c>
      <c r="F102" t="s">
        <v>55</v>
      </c>
      <c r="G102" t="s">
        <v>166</v>
      </c>
      <c r="H102">
        <v>0</v>
      </c>
      <c r="I102" s="13">
        <v>0.5</v>
      </c>
      <c r="J102">
        <v>1</v>
      </c>
      <c r="K102" s="2">
        <v>3</v>
      </c>
      <c r="L102">
        <v>2</v>
      </c>
      <c r="M102" s="2">
        <f t="shared" si="16"/>
        <v>-1</v>
      </c>
      <c r="N102" s="9">
        <v>8</v>
      </c>
      <c r="O102" s="9">
        <v>5</v>
      </c>
      <c r="P102">
        <f t="shared" si="17"/>
        <v>-3</v>
      </c>
      <c r="Q102" s="9">
        <v>1</v>
      </c>
      <c r="R102" s="9">
        <v>1</v>
      </c>
      <c r="S102">
        <f t="shared" si="18"/>
        <v>0</v>
      </c>
      <c r="T102">
        <v>3</v>
      </c>
      <c r="U102">
        <v>3</v>
      </c>
      <c r="V102">
        <f t="shared" si="19"/>
        <v>0</v>
      </c>
      <c r="W102">
        <v>0</v>
      </c>
      <c r="X102">
        <v>0</v>
      </c>
      <c r="Y102">
        <f t="shared" si="20"/>
        <v>0</v>
      </c>
      <c r="Z102">
        <f t="shared" si="15"/>
        <v>1</v>
      </c>
      <c r="AA102" s="2">
        <v>0</v>
      </c>
      <c r="AB102" s="2">
        <v>0</v>
      </c>
      <c r="AC102" s="2">
        <v>0</v>
      </c>
      <c r="AD102" s="2">
        <f t="shared" si="21"/>
        <v>0</v>
      </c>
      <c r="AE102" s="2">
        <v>0</v>
      </c>
      <c r="AF102" s="2">
        <v>0</v>
      </c>
      <c r="AG102" s="2">
        <v>0</v>
      </c>
      <c r="AH102" s="2">
        <v>1</v>
      </c>
      <c r="AI102" s="2">
        <v>0</v>
      </c>
      <c r="AJ102" s="2">
        <v>0</v>
      </c>
      <c r="AK102" s="2">
        <v>1</v>
      </c>
      <c r="AL102" s="2">
        <v>1</v>
      </c>
      <c r="AM102">
        <f t="shared" si="22"/>
        <v>0</v>
      </c>
      <c r="AN102" t="s">
        <v>9</v>
      </c>
    </row>
    <row r="103" spans="1:40" x14ac:dyDescent="0.35">
      <c r="A103">
        <v>164</v>
      </c>
      <c r="B103" t="s">
        <v>16</v>
      </c>
      <c r="C103">
        <v>1.61</v>
      </c>
      <c r="D103" s="2">
        <v>7</v>
      </c>
      <c r="E103" t="s">
        <v>162</v>
      </c>
      <c r="F103" t="s">
        <v>60</v>
      </c>
      <c r="G103" t="s">
        <v>167</v>
      </c>
      <c r="H103">
        <v>0</v>
      </c>
      <c r="I103" s="13">
        <v>0.5</v>
      </c>
      <c r="J103">
        <v>2</v>
      </c>
      <c r="K103" s="2">
        <v>4</v>
      </c>
      <c r="L103">
        <v>4</v>
      </c>
      <c r="M103" s="2">
        <f t="shared" si="16"/>
        <v>0</v>
      </c>
      <c r="N103" s="9">
        <v>4</v>
      </c>
      <c r="O103" s="9">
        <v>2</v>
      </c>
      <c r="P103">
        <f t="shared" si="17"/>
        <v>-2</v>
      </c>
      <c r="Q103" s="9">
        <v>2</v>
      </c>
      <c r="R103" s="9">
        <v>2</v>
      </c>
      <c r="S103">
        <f t="shared" si="18"/>
        <v>0</v>
      </c>
      <c r="T103">
        <v>3</v>
      </c>
      <c r="U103">
        <v>2</v>
      </c>
      <c r="V103">
        <f t="shared" si="19"/>
        <v>-1</v>
      </c>
      <c r="W103">
        <v>1</v>
      </c>
      <c r="X103">
        <v>1</v>
      </c>
      <c r="Y103">
        <f t="shared" si="20"/>
        <v>0</v>
      </c>
      <c r="Z103">
        <f t="shared" si="15"/>
        <v>0</v>
      </c>
      <c r="AA103" s="2">
        <v>0</v>
      </c>
      <c r="AB103" s="2">
        <v>0</v>
      </c>
      <c r="AC103" s="2">
        <v>0</v>
      </c>
      <c r="AD103" s="2">
        <f t="shared" si="21"/>
        <v>0</v>
      </c>
      <c r="AE103" s="2">
        <v>0</v>
      </c>
      <c r="AF103" s="2">
        <v>0</v>
      </c>
      <c r="AG103" s="2">
        <v>0</v>
      </c>
      <c r="AH103" s="2">
        <v>1</v>
      </c>
      <c r="AI103" s="2">
        <v>0</v>
      </c>
      <c r="AJ103" s="2">
        <v>0</v>
      </c>
      <c r="AK103" s="2">
        <v>0</v>
      </c>
      <c r="AL103" s="2">
        <v>0</v>
      </c>
      <c r="AM103">
        <f t="shared" si="22"/>
        <v>0</v>
      </c>
      <c r="AN103" t="s">
        <v>140</v>
      </c>
    </row>
    <row r="104" spans="1:40" x14ac:dyDescent="0.35">
      <c r="A104">
        <v>165</v>
      </c>
      <c r="B104" t="s">
        <v>14</v>
      </c>
      <c r="C104">
        <v>1.42</v>
      </c>
      <c r="D104" s="2">
        <v>4</v>
      </c>
      <c r="E104" t="s">
        <v>160</v>
      </c>
      <c r="F104" t="s">
        <v>55</v>
      </c>
      <c r="G104" t="s">
        <v>167</v>
      </c>
      <c r="H104">
        <v>0</v>
      </c>
      <c r="I104" s="13">
        <v>1</v>
      </c>
      <c r="J104">
        <v>1</v>
      </c>
      <c r="K104" s="2">
        <v>3</v>
      </c>
      <c r="L104">
        <v>3</v>
      </c>
      <c r="M104" s="2">
        <f t="shared" si="16"/>
        <v>0</v>
      </c>
      <c r="N104" s="9">
        <v>8</v>
      </c>
      <c r="O104" s="9">
        <v>4</v>
      </c>
      <c r="P104">
        <f t="shared" si="17"/>
        <v>-4</v>
      </c>
      <c r="Q104" s="9">
        <v>1</v>
      </c>
      <c r="R104" s="9">
        <v>1</v>
      </c>
      <c r="S104">
        <f t="shared" si="18"/>
        <v>0</v>
      </c>
      <c r="W104">
        <v>0</v>
      </c>
      <c r="X104">
        <v>0</v>
      </c>
      <c r="Y104">
        <f t="shared" si="20"/>
        <v>0</v>
      </c>
      <c r="Z104">
        <f t="shared" si="15"/>
        <v>1</v>
      </c>
      <c r="AA104" s="2">
        <v>0</v>
      </c>
      <c r="AB104" s="2">
        <v>1</v>
      </c>
      <c r="AC104" s="2">
        <v>1</v>
      </c>
      <c r="AD104" s="2">
        <f t="shared" si="21"/>
        <v>1</v>
      </c>
      <c r="AE104" s="2">
        <v>0</v>
      </c>
      <c r="AF104" s="2">
        <v>0</v>
      </c>
      <c r="AG104" s="2">
        <v>0</v>
      </c>
      <c r="AH104" s="2">
        <v>0</v>
      </c>
      <c r="AI104" s="2">
        <v>0</v>
      </c>
      <c r="AJ104" s="2">
        <v>0</v>
      </c>
      <c r="AK104" s="2">
        <v>1</v>
      </c>
      <c r="AL104" s="2">
        <v>1</v>
      </c>
      <c r="AM104">
        <f t="shared" si="22"/>
        <v>0</v>
      </c>
      <c r="AN104" t="s">
        <v>137</v>
      </c>
    </row>
    <row r="105" spans="1:40" x14ac:dyDescent="0.35">
      <c r="A105">
        <v>166</v>
      </c>
      <c r="B105" t="s">
        <v>127</v>
      </c>
      <c r="C105" s="9">
        <v>1.81</v>
      </c>
      <c r="D105" s="2">
        <v>12</v>
      </c>
      <c r="E105" t="s">
        <v>61</v>
      </c>
      <c r="F105" t="s">
        <v>59</v>
      </c>
      <c r="G105" t="s">
        <v>166</v>
      </c>
      <c r="H105">
        <v>0</v>
      </c>
      <c r="I105" s="13">
        <v>0.5</v>
      </c>
      <c r="J105">
        <v>1</v>
      </c>
      <c r="K105" s="2">
        <v>2</v>
      </c>
      <c r="L105">
        <v>2</v>
      </c>
      <c r="M105" s="2">
        <f t="shared" si="16"/>
        <v>0</v>
      </c>
      <c r="N105" s="9">
        <v>8</v>
      </c>
      <c r="O105" s="9">
        <v>9</v>
      </c>
      <c r="P105">
        <f t="shared" si="17"/>
        <v>1</v>
      </c>
      <c r="Q105" s="9">
        <v>2</v>
      </c>
      <c r="R105" s="9">
        <v>2</v>
      </c>
      <c r="S105">
        <f t="shared" si="18"/>
        <v>0</v>
      </c>
      <c r="T105">
        <v>1</v>
      </c>
      <c r="U105">
        <v>3</v>
      </c>
      <c r="V105">
        <f t="shared" si="19"/>
        <v>2</v>
      </c>
      <c r="W105">
        <v>0</v>
      </c>
      <c r="X105">
        <v>0</v>
      </c>
      <c r="Y105">
        <f t="shared" si="20"/>
        <v>0</v>
      </c>
      <c r="Z105">
        <f t="shared" si="15"/>
        <v>1</v>
      </c>
      <c r="AA105" s="2">
        <v>0</v>
      </c>
      <c r="AB105" s="2">
        <v>0</v>
      </c>
      <c r="AC105" s="2">
        <v>0</v>
      </c>
      <c r="AD105" s="2">
        <f t="shared" si="21"/>
        <v>0</v>
      </c>
      <c r="AE105" s="2">
        <v>0</v>
      </c>
      <c r="AF105" s="2">
        <v>0</v>
      </c>
      <c r="AG105" s="2">
        <v>0</v>
      </c>
      <c r="AH105" s="2">
        <v>0</v>
      </c>
      <c r="AI105" s="2">
        <v>0</v>
      </c>
      <c r="AJ105" s="2">
        <v>0</v>
      </c>
      <c r="AK105" s="2">
        <v>0</v>
      </c>
      <c r="AL105" s="2">
        <v>1</v>
      </c>
      <c r="AM105">
        <f t="shared" si="22"/>
        <v>0</v>
      </c>
      <c r="AN105" t="s">
        <v>140</v>
      </c>
    </row>
    <row r="106" spans="1:40" x14ac:dyDescent="0.35">
      <c r="A106">
        <v>170</v>
      </c>
      <c r="B106" t="s">
        <v>18</v>
      </c>
      <c r="C106">
        <v>-0.04</v>
      </c>
      <c r="D106" s="2">
        <v>40</v>
      </c>
      <c r="E106" t="s">
        <v>62</v>
      </c>
      <c r="F106" t="s">
        <v>59</v>
      </c>
      <c r="G106" t="s">
        <v>166</v>
      </c>
      <c r="H106">
        <v>0</v>
      </c>
      <c r="I106" s="13">
        <v>0.25</v>
      </c>
      <c r="J106">
        <v>1</v>
      </c>
      <c r="K106" s="2">
        <v>3</v>
      </c>
      <c r="L106">
        <v>4</v>
      </c>
      <c r="M106" s="2">
        <f t="shared" si="16"/>
        <v>1</v>
      </c>
      <c r="N106" s="9">
        <v>5</v>
      </c>
      <c r="O106" s="9">
        <v>5</v>
      </c>
      <c r="P106">
        <f t="shared" si="17"/>
        <v>0</v>
      </c>
      <c r="Q106" s="9">
        <v>2</v>
      </c>
      <c r="R106" s="9">
        <v>2</v>
      </c>
      <c r="S106">
        <f t="shared" si="18"/>
        <v>0</v>
      </c>
      <c r="T106">
        <v>1</v>
      </c>
      <c r="U106">
        <v>1</v>
      </c>
      <c r="V106">
        <f t="shared" si="19"/>
        <v>0</v>
      </c>
      <c r="W106">
        <v>2</v>
      </c>
      <c r="X106">
        <v>1</v>
      </c>
      <c r="Y106">
        <f t="shared" si="20"/>
        <v>-1</v>
      </c>
      <c r="Z106">
        <f t="shared" si="15"/>
        <v>1</v>
      </c>
      <c r="AA106" s="2">
        <v>1</v>
      </c>
      <c r="AB106" s="2">
        <v>1</v>
      </c>
      <c r="AC106" s="2">
        <v>0</v>
      </c>
      <c r="AD106" s="2">
        <f t="shared" si="21"/>
        <v>1</v>
      </c>
      <c r="AE106" s="2">
        <v>1</v>
      </c>
      <c r="AF106" s="2">
        <v>0</v>
      </c>
      <c r="AG106" s="2">
        <v>0</v>
      </c>
      <c r="AH106" s="2">
        <v>1</v>
      </c>
      <c r="AI106" s="2">
        <v>0</v>
      </c>
      <c r="AJ106" s="2">
        <v>1</v>
      </c>
      <c r="AK106" s="2">
        <v>0</v>
      </c>
      <c r="AL106" s="2">
        <v>0</v>
      </c>
      <c r="AM106">
        <f t="shared" si="22"/>
        <v>0</v>
      </c>
      <c r="AN106" t="s">
        <v>47</v>
      </c>
    </row>
    <row r="107" spans="1:40" x14ac:dyDescent="0.35">
      <c r="A107">
        <v>171</v>
      </c>
      <c r="B107" t="s">
        <v>127</v>
      </c>
      <c r="C107" s="9">
        <v>1.81</v>
      </c>
      <c r="D107" s="2">
        <v>4</v>
      </c>
      <c r="E107" t="s">
        <v>61</v>
      </c>
      <c r="F107" t="s">
        <v>59</v>
      </c>
      <c r="G107" t="s">
        <v>166</v>
      </c>
      <c r="H107">
        <v>0</v>
      </c>
      <c r="I107" s="13">
        <v>0.25</v>
      </c>
      <c r="J107">
        <v>1</v>
      </c>
      <c r="K107" s="2">
        <v>3</v>
      </c>
      <c r="L107">
        <v>3</v>
      </c>
      <c r="M107" s="2">
        <f t="shared" si="16"/>
        <v>0</v>
      </c>
      <c r="N107" s="9">
        <v>8</v>
      </c>
      <c r="O107" s="9">
        <v>8</v>
      </c>
      <c r="P107">
        <f t="shared" si="17"/>
        <v>0</v>
      </c>
      <c r="Q107" s="9">
        <v>2</v>
      </c>
      <c r="R107" s="9">
        <v>2</v>
      </c>
      <c r="S107">
        <f t="shared" si="18"/>
        <v>0</v>
      </c>
      <c r="T107">
        <v>4</v>
      </c>
      <c r="U107">
        <v>4</v>
      </c>
      <c r="V107">
        <f t="shared" si="19"/>
        <v>0</v>
      </c>
      <c r="W107">
        <v>1</v>
      </c>
      <c r="X107">
        <v>1</v>
      </c>
      <c r="Y107">
        <f t="shared" si="20"/>
        <v>0</v>
      </c>
      <c r="Z107">
        <f t="shared" si="15"/>
        <v>0</v>
      </c>
      <c r="AA107" s="2">
        <v>0</v>
      </c>
      <c r="AB107" s="2">
        <v>0</v>
      </c>
      <c r="AC107" s="2">
        <v>0</v>
      </c>
      <c r="AD107" s="2">
        <f t="shared" si="21"/>
        <v>0</v>
      </c>
      <c r="AE107" s="2">
        <v>0</v>
      </c>
      <c r="AF107" s="2">
        <v>1</v>
      </c>
      <c r="AG107" s="2">
        <v>0</v>
      </c>
      <c r="AH107" s="2">
        <v>1</v>
      </c>
      <c r="AI107" s="2">
        <v>0</v>
      </c>
      <c r="AJ107" s="2">
        <v>1</v>
      </c>
      <c r="AK107" s="2">
        <v>1</v>
      </c>
      <c r="AL107" s="2">
        <v>1</v>
      </c>
      <c r="AM107">
        <f t="shared" si="22"/>
        <v>0</v>
      </c>
      <c r="AN107" t="s">
        <v>6</v>
      </c>
    </row>
    <row r="108" spans="1:40" x14ac:dyDescent="0.35">
      <c r="A108">
        <v>172</v>
      </c>
      <c r="B108" t="s">
        <v>127</v>
      </c>
      <c r="C108" s="9">
        <v>1.81</v>
      </c>
      <c r="D108" s="2">
        <v>15</v>
      </c>
      <c r="E108" t="s">
        <v>61</v>
      </c>
      <c r="F108" t="s">
        <v>53</v>
      </c>
      <c r="G108" t="s">
        <v>166</v>
      </c>
      <c r="H108">
        <v>0</v>
      </c>
      <c r="I108" s="13">
        <v>1</v>
      </c>
      <c r="J108">
        <v>1</v>
      </c>
      <c r="K108" s="2">
        <v>3</v>
      </c>
      <c r="L108">
        <v>3</v>
      </c>
      <c r="M108" s="2">
        <f t="shared" si="16"/>
        <v>0</v>
      </c>
      <c r="N108" s="9">
        <v>9</v>
      </c>
      <c r="O108" s="9">
        <v>6</v>
      </c>
      <c r="P108">
        <f t="shared" si="17"/>
        <v>-3</v>
      </c>
      <c r="Q108" s="9">
        <v>1</v>
      </c>
      <c r="R108" s="9">
        <v>1</v>
      </c>
      <c r="S108">
        <f t="shared" si="18"/>
        <v>0</v>
      </c>
      <c r="T108">
        <v>4</v>
      </c>
      <c r="U108">
        <v>3</v>
      </c>
      <c r="V108">
        <f t="shared" si="19"/>
        <v>-1</v>
      </c>
      <c r="W108">
        <v>1</v>
      </c>
      <c r="X108">
        <v>1</v>
      </c>
      <c r="Y108">
        <f t="shared" si="20"/>
        <v>0</v>
      </c>
      <c r="Z108">
        <f t="shared" si="15"/>
        <v>0</v>
      </c>
      <c r="AA108" s="2">
        <v>0</v>
      </c>
      <c r="AB108" s="2">
        <v>1</v>
      </c>
      <c r="AC108" s="2">
        <v>0</v>
      </c>
      <c r="AD108" s="2">
        <f t="shared" si="21"/>
        <v>1</v>
      </c>
      <c r="AE108" s="2">
        <v>0</v>
      </c>
      <c r="AF108" s="2">
        <v>0</v>
      </c>
      <c r="AG108" s="2">
        <v>0</v>
      </c>
      <c r="AH108" s="2">
        <v>0</v>
      </c>
      <c r="AI108" s="2">
        <v>0</v>
      </c>
      <c r="AJ108" s="2">
        <v>0</v>
      </c>
      <c r="AK108" s="2">
        <v>0</v>
      </c>
      <c r="AL108" s="2">
        <v>0</v>
      </c>
      <c r="AM108">
        <f t="shared" si="22"/>
        <v>0</v>
      </c>
      <c r="AN108" t="s">
        <v>136</v>
      </c>
    </row>
    <row r="109" spans="1:40" x14ac:dyDescent="0.35">
      <c r="A109">
        <v>174</v>
      </c>
      <c r="B109" t="s">
        <v>14</v>
      </c>
      <c r="C109">
        <v>1.42</v>
      </c>
      <c r="D109" s="2">
        <v>60</v>
      </c>
      <c r="E109" t="s">
        <v>160</v>
      </c>
      <c r="F109" t="s">
        <v>55</v>
      </c>
      <c r="G109" t="s">
        <v>166</v>
      </c>
      <c r="H109">
        <v>0</v>
      </c>
      <c r="I109" s="13">
        <v>1</v>
      </c>
      <c r="J109">
        <v>1</v>
      </c>
      <c r="K109" s="2">
        <v>5</v>
      </c>
      <c r="L109">
        <v>5</v>
      </c>
      <c r="M109" s="2">
        <f t="shared" si="16"/>
        <v>0</v>
      </c>
      <c r="N109" s="9">
        <v>10</v>
      </c>
      <c r="O109" s="9">
        <v>1</v>
      </c>
      <c r="P109">
        <f t="shared" si="17"/>
        <v>-9</v>
      </c>
      <c r="Q109" s="9">
        <v>3</v>
      </c>
      <c r="R109" s="9">
        <v>3</v>
      </c>
      <c r="S109">
        <f t="shared" si="18"/>
        <v>0</v>
      </c>
      <c r="T109">
        <v>2</v>
      </c>
      <c r="U109">
        <v>2</v>
      </c>
      <c r="V109">
        <f t="shared" si="19"/>
        <v>0</v>
      </c>
      <c r="W109">
        <v>0</v>
      </c>
      <c r="X109">
        <v>0</v>
      </c>
      <c r="Y109">
        <f t="shared" si="20"/>
        <v>0</v>
      </c>
      <c r="Z109">
        <f t="shared" si="15"/>
        <v>1</v>
      </c>
      <c r="AA109" s="2">
        <v>0</v>
      </c>
      <c r="AB109" s="2">
        <v>1</v>
      </c>
      <c r="AC109" s="2">
        <v>1</v>
      </c>
      <c r="AD109" s="2">
        <f t="shared" si="21"/>
        <v>1</v>
      </c>
      <c r="AE109" s="2">
        <v>0</v>
      </c>
      <c r="AF109" s="2">
        <v>1</v>
      </c>
      <c r="AG109" s="2">
        <v>0</v>
      </c>
      <c r="AH109" s="2">
        <v>1</v>
      </c>
      <c r="AI109" s="2">
        <v>0</v>
      </c>
      <c r="AJ109" s="2">
        <v>0</v>
      </c>
      <c r="AK109" s="2">
        <v>0</v>
      </c>
      <c r="AL109" s="2">
        <v>0</v>
      </c>
      <c r="AM109">
        <f t="shared" si="22"/>
        <v>0</v>
      </c>
      <c r="AN109" t="s">
        <v>136</v>
      </c>
    </row>
    <row r="110" spans="1:40" x14ac:dyDescent="0.35">
      <c r="A110">
        <v>175</v>
      </c>
      <c r="B110" t="s">
        <v>18</v>
      </c>
      <c r="C110">
        <v>-0.04</v>
      </c>
      <c r="D110" s="2">
        <v>60</v>
      </c>
      <c r="E110" t="s">
        <v>160</v>
      </c>
      <c r="F110" t="s">
        <v>59</v>
      </c>
      <c r="G110" t="s">
        <v>167</v>
      </c>
      <c r="H110">
        <v>0</v>
      </c>
      <c r="I110" s="13">
        <v>0.25</v>
      </c>
      <c r="J110">
        <v>1</v>
      </c>
      <c r="K110" s="2">
        <v>10</v>
      </c>
      <c r="L110">
        <v>9</v>
      </c>
      <c r="M110" s="2">
        <f t="shared" si="16"/>
        <v>-1</v>
      </c>
      <c r="N110" s="9">
        <v>7</v>
      </c>
      <c r="O110" s="9">
        <v>6</v>
      </c>
      <c r="P110">
        <f t="shared" si="17"/>
        <v>-1</v>
      </c>
      <c r="Q110" s="9">
        <v>3</v>
      </c>
      <c r="R110" s="9">
        <v>3</v>
      </c>
      <c r="S110">
        <f t="shared" si="18"/>
        <v>0</v>
      </c>
      <c r="T110">
        <v>4</v>
      </c>
      <c r="U110">
        <v>3</v>
      </c>
      <c r="V110">
        <f t="shared" si="19"/>
        <v>-1</v>
      </c>
      <c r="W110">
        <v>1</v>
      </c>
      <c r="X110">
        <v>1</v>
      </c>
      <c r="Y110">
        <f t="shared" si="20"/>
        <v>0</v>
      </c>
      <c r="Z110">
        <f t="shared" si="15"/>
        <v>0</v>
      </c>
      <c r="AA110" s="2">
        <v>0</v>
      </c>
      <c r="AB110" s="2">
        <v>0</v>
      </c>
      <c r="AC110" s="2">
        <v>0</v>
      </c>
      <c r="AD110" s="2">
        <f t="shared" si="21"/>
        <v>0</v>
      </c>
      <c r="AE110" s="2">
        <v>0</v>
      </c>
      <c r="AF110" s="2">
        <v>1</v>
      </c>
      <c r="AG110" s="2">
        <v>0</v>
      </c>
      <c r="AH110" s="2">
        <v>1</v>
      </c>
      <c r="AI110" s="2">
        <v>0</v>
      </c>
      <c r="AJ110" s="2">
        <v>0</v>
      </c>
      <c r="AK110" s="2">
        <v>1</v>
      </c>
      <c r="AL110" s="2">
        <v>0</v>
      </c>
      <c r="AM110">
        <f t="shared" si="22"/>
        <v>0</v>
      </c>
      <c r="AN110" t="s">
        <v>6</v>
      </c>
    </row>
    <row r="111" spans="1:40" x14ac:dyDescent="0.35">
      <c r="A111">
        <v>176</v>
      </c>
      <c r="B111" t="s">
        <v>127</v>
      </c>
      <c r="C111" s="9">
        <v>1.81</v>
      </c>
      <c r="D111" s="2">
        <v>95</v>
      </c>
      <c r="E111" t="s">
        <v>61</v>
      </c>
      <c r="F111" t="s">
        <v>53</v>
      </c>
      <c r="G111" t="s">
        <v>167</v>
      </c>
      <c r="H111">
        <v>0</v>
      </c>
      <c r="I111" s="13">
        <v>0.75</v>
      </c>
      <c r="J111">
        <v>1</v>
      </c>
      <c r="K111" s="2">
        <v>4</v>
      </c>
      <c r="L111">
        <v>4</v>
      </c>
      <c r="M111" s="2">
        <f t="shared" si="16"/>
        <v>0</v>
      </c>
      <c r="N111" s="9">
        <v>7</v>
      </c>
      <c r="O111" s="9">
        <v>7</v>
      </c>
      <c r="P111">
        <f t="shared" si="17"/>
        <v>0</v>
      </c>
      <c r="Q111" s="9">
        <v>1</v>
      </c>
      <c r="R111" s="9">
        <v>1</v>
      </c>
      <c r="S111">
        <f t="shared" si="18"/>
        <v>0</v>
      </c>
      <c r="T111">
        <v>1</v>
      </c>
      <c r="U111">
        <v>3</v>
      </c>
      <c r="V111">
        <f t="shared" si="19"/>
        <v>2</v>
      </c>
      <c r="W111">
        <v>1</v>
      </c>
      <c r="X111">
        <v>1</v>
      </c>
      <c r="Y111">
        <f t="shared" si="20"/>
        <v>0</v>
      </c>
      <c r="Z111">
        <f t="shared" si="15"/>
        <v>0</v>
      </c>
      <c r="AA111" s="2">
        <v>0</v>
      </c>
      <c r="AB111" s="2">
        <v>1</v>
      </c>
      <c r="AC111" s="2">
        <v>0</v>
      </c>
      <c r="AD111" s="2">
        <f t="shared" si="21"/>
        <v>1</v>
      </c>
      <c r="AE111" s="2">
        <v>0</v>
      </c>
      <c r="AF111" s="2">
        <v>1</v>
      </c>
      <c r="AG111" s="2">
        <v>1</v>
      </c>
      <c r="AH111" s="2">
        <v>1</v>
      </c>
      <c r="AI111" s="2">
        <v>0</v>
      </c>
      <c r="AJ111" s="2">
        <v>0</v>
      </c>
      <c r="AK111" s="2">
        <v>0</v>
      </c>
      <c r="AL111" s="2">
        <v>1</v>
      </c>
      <c r="AM111">
        <f t="shared" si="22"/>
        <v>0</v>
      </c>
      <c r="AN111" t="s">
        <v>136</v>
      </c>
    </row>
    <row r="112" spans="1:40" x14ac:dyDescent="0.35">
      <c r="A112">
        <v>178</v>
      </c>
      <c r="B112" t="s">
        <v>127</v>
      </c>
      <c r="C112" s="9">
        <v>1.81</v>
      </c>
      <c r="D112" s="2">
        <v>21</v>
      </c>
      <c r="E112" t="s">
        <v>61</v>
      </c>
      <c r="F112" t="s">
        <v>53</v>
      </c>
      <c r="G112" t="s">
        <v>166</v>
      </c>
      <c r="H112">
        <v>0</v>
      </c>
      <c r="I112" s="13">
        <v>0.75</v>
      </c>
      <c r="J112">
        <v>1</v>
      </c>
      <c r="K112" s="2">
        <v>3</v>
      </c>
      <c r="L112">
        <v>3</v>
      </c>
      <c r="M112" s="2">
        <f t="shared" si="16"/>
        <v>0</v>
      </c>
      <c r="N112" s="9">
        <v>9</v>
      </c>
      <c r="O112" s="9">
        <v>8</v>
      </c>
      <c r="P112">
        <f t="shared" si="17"/>
        <v>-1</v>
      </c>
      <c r="Q112" s="9">
        <v>3</v>
      </c>
      <c r="R112" s="9">
        <v>3</v>
      </c>
      <c r="S112">
        <f t="shared" si="18"/>
        <v>0</v>
      </c>
      <c r="T112">
        <v>3</v>
      </c>
      <c r="U112">
        <v>3</v>
      </c>
      <c r="V112">
        <f t="shared" si="19"/>
        <v>0</v>
      </c>
      <c r="W112">
        <v>2</v>
      </c>
      <c r="X112">
        <v>2</v>
      </c>
      <c r="Y112">
        <f t="shared" si="20"/>
        <v>0</v>
      </c>
      <c r="Z112">
        <f t="shared" si="15"/>
        <v>0</v>
      </c>
      <c r="AA112" s="2">
        <v>0</v>
      </c>
      <c r="AB112" s="2">
        <v>1</v>
      </c>
      <c r="AC112" s="2">
        <v>1</v>
      </c>
      <c r="AD112" s="2">
        <f t="shared" si="21"/>
        <v>1</v>
      </c>
      <c r="AE112" s="2">
        <v>1</v>
      </c>
      <c r="AF112" s="2">
        <v>0</v>
      </c>
      <c r="AG112" s="2">
        <v>0</v>
      </c>
      <c r="AH112" s="2">
        <v>1</v>
      </c>
      <c r="AI112" s="2">
        <v>0</v>
      </c>
      <c r="AJ112" s="2">
        <v>0</v>
      </c>
      <c r="AK112" s="2">
        <v>0</v>
      </c>
      <c r="AL112" s="2">
        <v>1</v>
      </c>
      <c r="AM112">
        <f t="shared" si="22"/>
        <v>0</v>
      </c>
      <c r="AN112" t="s">
        <v>136</v>
      </c>
    </row>
    <row r="113" spans="1:40" x14ac:dyDescent="0.35">
      <c r="A113">
        <v>179</v>
      </c>
      <c r="B113" t="s">
        <v>18</v>
      </c>
      <c r="C113">
        <v>-0.04</v>
      </c>
      <c r="D113" s="2">
        <v>60</v>
      </c>
      <c r="E113" t="s">
        <v>160</v>
      </c>
      <c r="F113" t="s">
        <v>53</v>
      </c>
      <c r="G113" t="s">
        <v>166</v>
      </c>
      <c r="H113">
        <v>0</v>
      </c>
      <c r="I113" s="13">
        <v>0.25</v>
      </c>
      <c r="J113">
        <v>1</v>
      </c>
      <c r="K113" s="2">
        <v>9</v>
      </c>
      <c r="L113">
        <v>9</v>
      </c>
      <c r="M113" s="2">
        <f t="shared" si="16"/>
        <v>0</v>
      </c>
      <c r="N113" s="9">
        <v>4</v>
      </c>
      <c r="O113" s="9">
        <v>4</v>
      </c>
      <c r="P113">
        <f t="shared" si="17"/>
        <v>0</v>
      </c>
      <c r="Q113" s="9">
        <v>1</v>
      </c>
      <c r="R113" s="9">
        <v>1</v>
      </c>
      <c r="S113">
        <f t="shared" si="18"/>
        <v>0</v>
      </c>
      <c r="T113">
        <v>1</v>
      </c>
      <c r="U113">
        <v>3</v>
      </c>
      <c r="V113">
        <f t="shared" si="19"/>
        <v>2</v>
      </c>
      <c r="W113">
        <v>2</v>
      </c>
      <c r="X113">
        <v>2</v>
      </c>
      <c r="Y113">
        <f t="shared" si="20"/>
        <v>0</v>
      </c>
      <c r="Z113">
        <f t="shared" si="15"/>
        <v>0</v>
      </c>
      <c r="AA113" s="2">
        <v>0</v>
      </c>
      <c r="AB113" s="2">
        <v>0</v>
      </c>
      <c r="AC113" s="2">
        <v>0</v>
      </c>
      <c r="AD113" s="2">
        <f t="shared" si="21"/>
        <v>0</v>
      </c>
      <c r="AE113" s="2">
        <v>0</v>
      </c>
      <c r="AF113" s="2">
        <v>1</v>
      </c>
      <c r="AG113" s="2">
        <v>0</v>
      </c>
      <c r="AH113" s="2">
        <v>0</v>
      </c>
      <c r="AI113" s="2">
        <v>0</v>
      </c>
      <c r="AJ113" s="2">
        <v>0</v>
      </c>
      <c r="AK113" s="2">
        <v>1</v>
      </c>
      <c r="AL113" s="2">
        <v>1</v>
      </c>
      <c r="AM113">
        <f t="shared" si="22"/>
        <v>0</v>
      </c>
      <c r="AN113" t="s">
        <v>6</v>
      </c>
    </row>
    <row r="114" spans="1:40" x14ac:dyDescent="0.35">
      <c r="A114">
        <v>181</v>
      </c>
      <c r="B114" t="s">
        <v>18</v>
      </c>
      <c r="C114">
        <v>-0.04</v>
      </c>
      <c r="D114" s="2">
        <v>60</v>
      </c>
      <c r="E114" t="s">
        <v>160</v>
      </c>
      <c r="F114" t="s">
        <v>53</v>
      </c>
      <c r="G114" t="s">
        <v>167</v>
      </c>
      <c r="H114">
        <v>0</v>
      </c>
      <c r="I114" s="13">
        <v>0.5</v>
      </c>
      <c r="J114">
        <v>1</v>
      </c>
      <c r="K114" s="2">
        <v>3</v>
      </c>
      <c r="L114">
        <v>3</v>
      </c>
      <c r="M114" s="2">
        <f t="shared" si="16"/>
        <v>0</v>
      </c>
      <c r="N114" s="9">
        <v>6</v>
      </c>
      <c r="O114" s="9">
        <v>6</v>
      </c>
      <c r="P114">
        <f t="shared" si="17"/>
        <v>0</v>
      </c>
      <c r="Q114" s="9">
        <v>1</v>
      </c>
      <c r="R114" s="9">
        <v>1</v>
      </c>
      <c r="S114">
        <f t="shared" si="18"/>
        <v>0</v>
      </c>
      <c r="T114">
        <v>2</v>
      </c>
      <c r="U114">
        <v>2</v>
      </c>
      <c r="V114">
        <f t="shared" si="19"/>
        <v>0</v>
      </c>
      <c r="W114">
        <v>1</v>
      </c>
      <c r="X114">
        <v>1</v>
      </c>
      <c r="Y114">
        <f t="shared" si="20"/>
        <v>0</v>
      </c>
      <c r="Z114">
        <f t="shared" si="15"/>
        <v>0</v>
      </c>
      <c r="AA114" s="2">
        <v>0</v>
      </c>
      <c r="AB114" s="2">
        <v>0</v>
      </c>
      <c r="AC114" s="2">
        <v>0</v>
      </c>
      <c r="AD114" s="2">
        <f t="shared" si="21"/>
        <v>0</v>
      </c>
      <c r="AE114" s="2">
        <v>0</v>
      </c>
      <c r="AF114" s="2">
        <v>1</v>
      </c>
      <c r="AG114" s="2">
        <v>0</v>
      </c>
      <c r="AH114" s="2">
        <v>1</v>
      </c>
      <c r="AI114" s="2">
        <v>0</v>
      </c>
      <c r="AJ114" s="2">
        <v>0</v>
      </c>
      <c r="AK114" s="2">
        <v>1</v>
      </c>
      <c r="AL114" s="2">
        <v>0</v>
      </c>
      <c r="AM114">
        <f t="shared" si="22"/>
        <v>0</v>
      </c>
      <c r="AN114" t="s">
        <v>6</v>
      </c>
    </row>
    <row r="115" spans="1:40" x14ac:dyDescent="0.35">
      <c r="A115">
        <v>182</v>
      </c>
      <c r="B115" t="s">
        <v>18</v>
      </c>
      <c r="C115">
        <v>-0.04</v>
      </c>
      <c r="D115" s="2">
        <v>103</v>
      </c>
      <c r="E115" t="s">
        <v>160</v>
      </c>
      <c r="F115" t="s">
        <v>53</v>
      </c>
      <c r="G115" t="s">
        <v>166</v>
      </c>
      <c r="H115">
        <v>0</v>
      </c>
      <c r="I115" s="13">
        <v>0.25</v>
      </c>
      <c r="J115">
        <v>1</v>
      </c>
      <c r="K115" s="2">
        <v>4</v>
      </c>
      <c r="L115">
        <v>4</v>
      </c>
      <c r="M115" s="2">
        <f t="shared" si="16"/>
        <v>0</v>
      </c>
      <c r="N115" s="9">
        <v>4</v>
      </c>
      <c r="O115" s="9">
        <v>3</v>
      </c>
      <c r="P115">
        <f t="shared" si="17"/>
        <v>-1</v>
      </c>
      <c r="Q115" s="9">
        <v>1</v>
      </c>
      <c r="R115" s="9">
        <v>1</v>
      </c>
      <c r="S115">
        <f t="shared" si="18"/>
        <v>0</v>
      </c>
      <c r="T115">
        <v>1</v>
      </c>
      <c r="U115">
        <v>1</v>
      </c>
      <c r="V115">
        <f t="shared" si="19"/>
        <v>0</v>
      </c>
      <c r="W115">
        <v>1</v>
      </c>
      <c r="X115">
        <v>1</v>
      </c>
      <c r="Y115">
        <f t="shared" si="20"/>
        <v>0</v>
      </c>
      <c r="Z115">
        <f t="shared" si="15"/>
        <v>0</v>
      </c>
      <c r="AA115" s="2">
        <v>0</v>
      </c>
      <c r="AB115" s="2">
        <v>1</v>
      </c>
      <c r="AC115" s="2">
        <v>0</v>
      </c>
      <c r="AD115" s="2">
        <f t="shared" si="21"/>
        <v>1</v>
      </c>
      <c r="AE115" s="2">
        <v>0</v>
      </c>
      <c r="AF115" s="2">
        <v>0</v>
      </c>
      <c r="AG115" s="2">
        <v>0</v>
      </c>
      <c r="AH115" s="2">
        <v>1</v>
      </c>
      <c r="AI115" s="2">
        <v>0</v>
      </c>
      <c r="AJ115" s="2">
        <v>0</v>
      </c>
      <c r="AK115" s="2">
        <v>0</v>
      </c>
      <c r="AL115" s="2">
        <v>0</v>
      </c>
      <c r="AM115">
        <f t="shared" si="22"/>
        <v>0</v>
      </c>
      <c r="AN115" t="s">
        <v>136</v>
      </c>
    </row>
    <row r="116" spans="1:40" x14ac:dyDescent="0.35">
      <c r="A116">
        <v>185</v>
      </c>
      <c r="B116" t="s">
        <v>127</v>
      </c>
      <c r="C116" s="9">
        <v>1.81</v>
      </c>
      <c r="D116" s="2">
        <v>7</v>
      </c>
      <c r="E116" t="s">
        <v>61</v>
      </c>
      <c r="F116" t="s">
        <v>55</v>
      </c>
      <c r="G116" t="s">
        <v>166</v>
      </c>
      <c r="H116">
        <v>0</v>
      </c>
      <c r="I116" s="13">
        <v>0.5</v>
      </c>
      <c r="J116">
        <v>1</v>
      </c>
      <c r="K116" s="2">
        <v>5</v>
      </c>
      <c r="L116">
        <v>5</v>
      </c>
      <c r="M116" s="2">
        <f t="shared" si="16"/>
        <v>0</v>
      </c>
      <c r="N116" s="9">
        <v>7</v>
      </c>
      <c r="O116" s="9">
        <v>7</v>
      </c>
      <c r="P116">
        <f t="shared" si="17"/>
        <v>0</v>
      </c>
      <c r="Q116">
        <v>1</v>
      </c>
      <c r="R116">
        <v>1</v>
      </c>
      <c r="S116">
        <f t="shared" si="18"/>
        <v>0</v>
      </c>
      <c r="T116">
        <v>2</v>
      </c>
      <c r="U116">
        <v>3</v>
      </c>
      <c r="V116">
        <f t="shared" si="19"/>
        <v>1</v>
      </c>
      <c r="W116">
        <v>1</v>
      </c>
      <c r="X116">
        <v>1</v>
      </c>
      <c r="Y116">
        <f t="shared" si="20"/>
        <v>0</v>
      </c>
      <c r="Z116">
        <f t="shared" si="15"/>
        <v>0</v>
      </c>
      <c r="AA116" s="2">
        <v>0</v>
      </c>
      <c r="AB116" s="2">
        <v>1</v>
      </c>
      <c r="AC116" s="2">
        <v>1</v>
      </c>
      <c r="AD116" s="2">
        <f t="shared" si="21"/>
        <v>1</v>
      </c>
      <c r="AE116" s="2">
        <v>1</v>
      </c>
      <c r="AF116" s="2">
        <v>1</v>
      </c>
      <c r="AG116" s="2">
        <v>0</v>
      </c>
      <c r="AH116" s="2">
        <v>1</v>
      </c>
      <c r="AI116" s="2">
        <v>0</v>
      </c>
      <c r="AJ116" s="2">
        <v>0</v>
      </c>
      <c r="AK116" s="2">
        <v>0</v>
      </c>
      <c r="AL116" s="2">
        <v>1</v>
      </c>
      <c r="AM116">
        <f t="shared" si="22"/>
        <v>0</v>
      </c>
      <c r="AN116" t="s">
        <v>43</v>
      </c>
    </row>
    <row r="117" spans="1:40" x14ac:dyDescent="0.35">
      <c r="A117">
        <v>186</v>
      </c>
      <c r="B117" t="s">
        <v>14</v>
      </c>
      <c r="C117">
        <v>1.42</v>
      </c>
      <c r="D117" s="5">
        <v>6</v>
      </c>
      <c r="E117" t="s">
        <v>160</v>
      </c>
      <c r="F117" t="s">
        <v>53</v>
      </c>
      <c r="G117" t="s">
        <v>166</v>
      </c>
      <c r="H117">
        <v>0</v>
      </c>
      <c r="I117" s="13">
        <v>0.25</v>
      </c>
      <c r="J117">
        <v>1</v>
      </c>
      <c r="K117" s="2">
        <v>1</v>
      </c>
      <c r="L117">
        <v>1</v>
      </c>
      <c r="M117" s="2">
        <f t="shared" si="16"/>
        <v>0</v>
      </c>
      <c r="N117" s="9">
        <v>8</v>
      </c>
      <c r="O117" s="9">
        <v>6</v>
      </c>
      <c r="P117">
        <f t="shared" si="17"/>
        <v>-2</v>
      </c>
      <c r="Q117">
        <v>1</v>
      </c>
      <c r="R117">
        <v>1</v>
      </c>
      <c r="S117">
        <f t="shared" si="18"/>
        <v>0</v>
      </c>
      <c r="T117">
        <v>2</v>
      </c>
      <c r="U117">
        <v>1</v>
      </c>
      <c r="V117">
        <f t="shared" si="19"/>
        <v>-1</v>
      </c>
      <c r="W117">
        <v>1</v>
      </c>
      <c r="X117">
        <v>1</v>
      </c>
      <c r="Y117">
        <f t="shared" si="20"/>
        <v>0</v>
      </c>
      <c r="Z117">
        <f t="shared" si="15"/>
        <v>0</v>
      </c>
      <c r="AA117" s="2">
        <v>0</v>
      </c>
      <c r="AB117" s="2">
        <v>1</v>
      </c>
      <c r="AC117" s="2">
        <v>0</v>
      </c>
      <c r="AD117" s="2">
        <f t="shared" si="21"/>
        <v>1</v>
      </c>
      <c r="AE117" s="2">
        <v>0</v>
      </c>
      <c r="AF117" s="2">
        <v>1</v>
      </c>
      <c r="AG117" s="2">
        <v>0</v>
      </c>
      <c r="AH117" s="2">
        <v>1</v>
      </c>
      <c r="AI117" s="2">
        <v>0</v>
      </c>
      <c r="AJ117" s="2">
        <v>0</v>
      </c>
      <c r="AK117" s="2">
        <v>1</v>
      </c>
      <c r="AL117" s="2">
        <v>0</v>
      </c>
      <c r="AM117">
        <f t="shared" si="22"/>
        <v>0</v>
      </c>
      <c r="AN117" s="9" t="s">
        <v>39</v>
      </c>
    </row>
    <row r="118" spans="1:40" x14ac:dyDescent="0.35">
      <c r="A118">
        <v>187</v>
      </c>
      <c r="B118" t="s">
        <v>127</v>
      </c>
      <c r="C118" s="9">
        <v>1.81</v>
      </c>
      <c r="D118" s="5">
        <v>95</v>
      </c>
      <c r="E118" t="s">
        <v>61</v>
      </c>
      <c r="F118" t="s">
        <v>56</v>
      </c>
      <c r="G118" t="s">
        <v>166</v>
      </c>
      <c r="H118">
        <v>0</v>
      </c>
      <c r="I118" s="13">
        <v>1</v>
      </c>
      <c r="J118">
        <v>1</v>
      </c>
      <c r="K118" s="2">
        <v>3</v>
      </c>
      <c r="L118">
        <v>3</v>
      </c>
      <c r="M118" s="2">
        <f t="shared" si="16"/>
        <v>0</v>
      </c>
      <c r="N118" s="9">
        <v>10</v>
      </c>
      <c r="O118" s="9">
        <v>8</v>
      </c>
      <c r="P118">
        <f t="shared" si="17"/>
        <v>-2</v>
      </c>
      <c r="Q118">
        <v>2</v>
      </c>
      <c r="R118">
        <v>2</v>
      </c>
      <c r="S118">
        <f t="shared" si="18"/>
        <v>0</v>
      </c>
      <c r="T118">
        <v>5</v>
      </c>
      <c r="U118">
        <v>3</v>
      </c>
      <c r="V118">
        <f t="shared" si="19"/>
        <v>-2</v>
      </c>
      <c r="W118">
        <v>0</v>
      </c>
      <c r="X118">
        <v>0</v>
      </c>
      <c r="Y118">
        <f t="shared" si="20"/>
        <v>0</v>
      </c>
      <c r="Z118">
        <f t="shared" si="15"/>
        <v>1</v>
      </c>
      <c r="AA118" s="2">
        <v>0</v>
      </c>
      <c r="AB118" s="2">
        <v>0</v>
      </c>
      <c r="AC118" s="2">
        <v>0</v>
      </c>
      <c r="AD118" s="2">
        <f t="shared" si="21"/>
        <v>0</v>
      </c>
      <c r="AE118" s="2">
        <v>0</v>
      </c>
      <c r="AF118" s="2">
        <v>1</v>
      </c>
      <c r="AG118" s="2">
        <v>0</v>
      </c>
      <c r="AH118" s="2">
        <v>1</v>
      </c>
      <c r="AI118" s="2">
        <v>0</v>
      </c>
      <c r="AJ118" s="2">
        <v>0</v>
      </c>
      <c r="AK118" s="2">
        <v>1</v>
      </c>
      <c r="AL118" s="2">
        <v>1</v>
      </c>
      <c r="AM118">
        <f t="shared" si="22"/>
        <v>0</v>
      </c>
      <c r="AN118" s="9" t="s">
        <v>39</v>
      </c>
    </row>
    <row r="119" spans="1:40" x14ac:dyDescent="0.35">
      <c r="A119">
        <v>188</v>
      </c>
      <c r="B119" t="s">
        <v>18</v>
      </c>
      <c r="C119">
        <v>-0.04</v>
      </c>
      <c r="D119" s="2">
        <v>60</v>
      </c>
      <c r="E119" t="s">
        <v>162</v>
      </c>
      <c r="F119" t="s">
        <v>55</v>
      </c>
      <c r="G119" t="s">
        <v>167</v>
      </c>
      <c r="H119">
        <v>0</v>
      </c>
      <c r="I119" s="13">
        <v>0.5</v>
      </c>
      <c r="J119">
        <v>1</v>
      </c>
      <c r="K119" s="2">
        <v>5</v>
      </c>
      <c r="L119">
        <v>5</v>
      </c>
      <c r="M119" s="2">
        <f t="shared" si="16"/>
        <v>0</v>
      </c>
      <c r="N119" s="9">
        <v>6</v>
      </c>
      <c r="O119" s="9">
        <v>6</v>
      </c>
      <c r="P119">
        <f t="shared" si="17"/>
        <v>0</v>
      </c>
      <c r="Q119">
        <v>2</v>
      </c>
      <c r="R119">
        <v>2</v>
      </c>
      <c r="S119">
        <f t="shared" si="18"/>
        <v>0</v>
      </c>
      <c r="T119">
        <v>2</v>
      </c>
      <c r="U119">
        <v>2</v>
      </c>
      <c r="V119">
        <f t="shared" si="19"/>
        <v>0</v>
      </c>
      <c r="W119">
        <v>1</v>
      </c>
      <c r="X119">
        <v>1</v>
      </c>
      <c r="Y119">
        <f t="shared" si="20"/>
        <v>0</v>
      </c>
      <c r="Z119">
        <f t="shared" si="15"/>
        <v>0</v>
      </c>
      <c r="AA119" s="2">
        <v>0</v>
      </c>
      <c r="AB119" s="2">
        <v>1</v>
      </c>
      <c r="AC119" s="2">
        <v>0</v>
      </c>
      <c r="AD119" s="2">
        <f t="shared" si="21"/>
        <v>1</v>
      </c>
      <c r="AE119" s="2">
        <v>0</v>
      </c>
      <c r="AF119" s="2">
        <v>1</v>
      </c>
      <c r="AG119" s="2">
        <v>0</v>
      </c>
      <c r="AH119" s="2">
        <v>1</v>
      </c>
      <c r="AI119" s="2">
        <v>0</v>
      </c>
      <c r="AJ119" s="2">
        <v>1</v>
      </c>
      <c r="AK119" s="2">
        <v>0</v>
      </c>
      <c r="AL119" s="2">
        <v>1</v>
      </c>
      <c r="AM119">
        <f t="shared" si="22"/>
        <v>0</v>
      </c>
      <c r="AN119" t="s">
        <v>136</v>
      </c>
    </row>
    <row r="120" spans="1:40" x14ac:dyDescent="0.35">
      <c r="A120">
        <v>189</v>
      </c>
      <c r="B120" t="s">
        <v>18</v>
      </c>
      <c r="C120">
        <v>-0.04</v>
      </c>
      <c r="D120" s="2">
        <v>97</v>
      </c>
      <c r="E120" t="s">
        <v>160</v>
      </c>
      <c r="F120" t="s">
        <v>55</v>
      </c>
      <c r="G120" t="s">
        <v>166</v>
      </c>
      <c r="H120">
        <v>0</v>
      </c>
      <c r="I120" s="13">
        <v>0.25</v>
      </c>
      <c r="J120">
        <v>1</v>
      </c>
      <c r="K120" s="2">
        <v>5</v>
      </c>
      <c r="L120">
        <v>5</v>
      </c>
      <c r="M120" s="2">
        <f t="shared" si="16"/>
        <v>0</v>
      </c>
      <c r="N120" s="9">
        <v>5</v>
      </c>
      <c r="O120" s="9">
        <v>4</v>
      </c>
      <c r="P120">
        <f t="shared" si="17"/>
        <v>-1</v>
      </c>
      <c r="Q120">
        <v>3</v>
      </c>
      <c r="R120">
        <v>3</v>
      </c>
      <c r="S120">
        <f t="shared" si="18"/>
        <v>0</v>
      </c>
      <c r="T120">
        <v>4</v>
      </c>
      <c r="U120">
        <v>2</v>
      </c>
      <c r="V120">
        <f t="shared" si="19"/>
        <v>-2</v>
      </c>
      <c r="W120">
        <v>1</v>
      </c>
      <c r="X120">
        <v>1</v>
      </c>
      <c r="Y120">
        <f t="shared" si="20"/>
        <v>0</v>
      </c>
      <c r="Z120">
        <f t="shared" si="15"/>
        <v>0</v>
      </c>
      <c r="AA120" s="2">
        <v>0</v>
      </c>
      <c r="AB120" s="2">
        <v>1</v>
      </c>
      <c r="AC120" s="2">
        <v>0</v>
      </c>
      <c r="AD120" s="2">
        <f t="shared" si="21"/>
        <v>1</v>
      </c>
      <c r="AE120" s="2">
        <v>0</v>
      </c>
      <c r="AF120" s="2">
        <v>1</v>
      </c>
      <c r="AG120" s="2">
        <v>0</v>
      </c>
      <c r="AH120" s="2">
        <v>0</v>
      </c>
      <c r="AI120" s="2">
        <v>0</v>
      </c>
      <c r="AJ120" s="2">
        <v>0</v>
      </c>
      <c r="AK120" s="2">
        <v>0</v>
      </c>
      <c r="AL120" s="2">
        <v>0</v>
      </c>
      <c r="AM120">
        <f t="shared" si="22"/>
        <v>0</v>
      </c>
      <c r="AN120" t="s">
        <v>136</v>
      </c>
    </row>
    <row r="121" spans="1:40" x14ac:dyDescent="0.35">
      <c r="A121">
        <v>190</v>
      </c>
      <c r="B121" t="s">
        <v>14</v>
      </c>
      <c r="C121">
        <v>1.42</v>
      </c>
      <c r="D121" s="2">
        <v>1</v>
      </c>
      <c r="E121" t="s">
        <v>160</v>
      </c>
      <c r="F121" t="s">
        <v>55</v>
      </c>
      <c r="G121" t="s">
        <v>166</v>
      </c>
      <c r="H121">
        <v>0</v>
      </c>
      <c r="I121" s="13">
        <v>0.75</v>
      </c>
      <c r="J121">
        <v>1</v>
      </c>
      <c r="K121" s="2">
        <v>4</v>
      </c>
      <c r="L121">
        <v>1</v>
      </c>
      <c r="M121" s="2">
        <f t="shared" si="16"/>
        <v>-3</v>
      </c>
      <c r="N121" s="9">
        <v>9</v>
      </c>
      <c r="O121" s="9">
        <v>9</v>
      </c>
      <c r="P121">
        <f t="shared" si="17"/>
        <v>0</v>
      </c>
      <c r="Q121" s="9">
        <v>2</v>
      </c>
      <c r="R121" s="9">
        <v>2</v>
      </c>
      <c r="S121">
        <f t="shared" si="18"/>
        <v>0</v>
      </c>
      <c r="T121">
        <v>3</v>
      </c>
      <c r="U121">
        <v>3</v>
      </c>
      <c r="V121">
        <f t="shared" si="19"/>
        <v>0</v>
      </c>
      <c r="W121">
        <v>1</v>
      </c>
      <c r="X121">
        <v>1</v>
      </c>
      <c r="Y121">
        <f t="shared" si="20"/>
        <v>0</v>
      </c>
      <c r="Z121">
        <f t="shared" si="15"/>
        <v>0</v>
      </c>
      <c r="AA121" s="2">
        <v>0</v>
      </c>
      <c r="AB121" s="2">
        <v>0</v>
      </c>
      <c r="AC121" s="2">
        <v>0</v>
      </c>
      <c r="AD121" s="2">
        <f t="shared" si="21"/>
        <v>0</v>
      </c>
      <c r="AE121" s="2">
        <v>0</v>
      </c>
      <c r="AF121" s="2">
        <v>1</v>
      </c>
      <c r="AG121" s="2">
        <v>0</v>
      </c>
      <c r="AH121" s="2">
        <v>1</v>
      </c>
      <c r="AI121" s="2">
        <v>0</v>
      </c>
      <c r="AJ121" s="2">
        <v>1</v>
      </c>
      <c r="AK121" s="2">
        <v>0</v>
      </c>
      <c r="AL121" s="2">
        <v>0</v>
      </c>
      <c r="AM121">
        <f t="shared" si="22"/>
        <v>0</v>
      </c>
      <c r="AN121" t="s">
        <v>6</v>
      </c>
    </row>
    <row r="122" spans="1:40" x14ac:dyDescent="0.35">
      <c r="A122">
        <v>191</v>
      </c>
      <c r="B122" t="s">
        <v>16</v>
      </c>
      <c r="C122">
        <v>1.61</v>
      </c>
      <c r="D122" s="2">
        <v>7</v>
      </c>
      <c r="E122" t="s">
        <v>52</v>
      </c>
      <c r="F122" t="s">
        <v>53</v>
      </c>
      <c r="G122" t="s">
        <v>166</v>
      </c>
      <c r="H122">
        <v>0</v>
      </c>
      <c r="I122" s="13">
        <v>0.5</v>
      </c>
      <c r="J122">
        <v>2</v>
      </c>
      <c r="K122" s="2">
        <v>9</v>
      </c>
      <c r="L122">
        <v>9</v>
      </c>
      <c r="M122" s="2">
        <f t="shared" si="16"/>
        <v>0</v>
      </c>
      <c r="N122" s="9">
        <v>10</v>
      </c>
      <c r="O122" s="9">
        <v>10</v>
      </c>
      <c r="P122">
        <f t="shared" si="17"/>
        <v>0</v>
      </c>
      <c r="Q122" s="9">
        <v>3</v>
      </c>
      <c r="R122" s="9">
        <v>3</v>
      </c>
      <c r="S122">
        <f t="shared" si="18"/>
        <v>0</v>
      </c>
      <c r="T122">
        <v>5</v>
      </c>
      <c r="U122">
        <v>4</v>
      </c>
      <c r="V122">
        <f t="shared" si="19"/>
        <v>-1</v>
      </c>
      <c r="W122">
        <v>1</v>
      </c>
      <c r="X122">
        <v>1</v>
      </c>
      <c r="Y122">
        <f t="shared" si="20"/>
        <v>0</v>
      </c>
      <c r="Z122">
        <f t="shared" si="15"/>
        <v>0</v>
      </c>
      <c r="AA122" s="2">
        <v>0</v>
      </c>
      <c r="AB122" s="2">
        <v>0</v>
      </c>
      <c r="AC122" s="2">
        <v>0</v>
      </c>
      <c r="AD122" s="2">
        <f t="shared" si="21"/>
        <v>0</v>
      </c>
      <c r="AE122" s="2">
        <v>0</v>
      </c>
      <c r="AF122" s="2">
        <v>1</v>
      </c>
      <c r="AG122" s="2">
        <v>0</v>
      </c>
      <c r="AH122" s="2">
        <v>1</v>
      </c>
      <c r="AI122" s="2">
        <v>0</v>
      </c>
      <c r="AJ122" s="2">
        <v>0</v>
      </c>
      <c r="AK122" s="2">
        <v>1</v>
      </c>
      <c r="AL122" s="2">
        <v>0</v>
      </c>
      <c r="AM122">
        <f t="shared" si="22"/>
        <v>0</v>
      </c>
      <c r="AN122" s="2" t="s">
        <v>9</v>
      </c>
    </row>
    <row r="123" spans="1:40" x14ac:dyDescent="0.35">
      <c r="A123" s="7">
        <v>192</v>
      </c>
      <c r="B123" s="7" t="s">
        <v>163</v>
      </c>
      <c r="C123" s="7">
        <v>-0.37</v>
      </c>
      <c r="D123" s="12">
        <v>14</v>
      </c>
      <c r="E123" s="7" t="s">
        <v>52</v>
      </c>
      <c r="F123" s="7" t="s">
        <v>54</v>
      </c>
      <c r="G123" t="s">
        <v>166</v>
      </c>
      <c r="H123" s="7">
        <v>1</v>
      </c>
      <c r="I123" s="16">
        <v>0.25</v>
      </c>
      <c r="J123" s="7">
        <v>1</v>
      </c>
      <c r="K123" s="12">
        <v>3</v>
      </c>
      <c r="L123" s="7">
        <v>3</v>
      </c>
      <c r="M123" s="2">
        <f t="shared" si="16"/>
        <v>0</v>
      </c>
      <c r="N123" s="9">
        <v>9</v>
      </c>
      <c r="O123" s="9">
        <v>7</v>
      </c>
      <c r="P123">
        <f t="shared" si="17"/>
        <v>-2</v>
      </c>
      <c r="Q123" s="9">
        <v>3</v>
      </c>
      <c r="R123" s="9">
        <v>3</v>
      </c>
      <c r="S123">
        <f t="shared" si="18"/>
        <v>0</v>
      </c>
      <c r="T123">
        <v>4</v>
      </c>
      <c r="U123">
        <v>4</v>
      </c>
      <c r="V123">
        <f t="shared" si="19"/>
        <v>0</v>
      </c>
      <c r="W123">
        <v>1</v>
      </c>
      <c r="X123">
        <v>1</v>
      </c>
      <c r="Y123">
        <f t="shared" si="20"/>
        <v>0</v>
      </c>
      <c r="Z123">
        <f t="shared" si="15"/>
        <v>0</v>
      </c>
      <c r="AA123" s="12">
        <v>0</v>
      </c>
      <c r="AB123" s="12">
        <v>1</v>
      </c>
      <c r="AC123" s="12">
        <v>1</v>
      </c>
      <c r="AD123" s="12">
        <f t="shared" si="21"/>
        <v>1</v>
      </c>
      <c r="AE123" s="12">
        <v>1</v>
      </c>
      <c r="AF123" s="12">
        <v>0</v>
      </c>
      <c r="AG123" s="12">
        <v>0</v>
      </c>
      <c r="AH123" s="12">
        <v>1</v>
      </c>
      <c r="AI123" s="12">
        <v>0</v>
      </c>
      <c r="AJ123" s="12">
        <v>0</v>
      </c>
      <c r="AK123" s="12">
        <v>0</v>
      </c>
      <c r="AL123" s="12">
        <v>1</v>
      </c>
      <c r="AM123">
        <f t="shared" si="22"/>
        <v>0</v>
      </c>
      <c r="AN123" s="12" t="s">
        <v>137</v>
      </c>
    </row>
    <row r="124" spans="1:40" x14ac:dyDescent="0.35">
      <c r="A124" s="7">
        <v>193</v>
      </c>
      <c r="B124" s="7" t="s">
        <v>163</v>
      </c>
      <c r="C124" s="7">
        <v>-0.37</v>
      </c>
      <c r="D124" s="2">
        <v>7</v>
      </c>
      <c r="E124" s="7" t="s">
        <v>52</v>
      </c>
      <c r="F124" t="s">
        <v>55</v>
      </c>
      <c r="G124" s="7" t="s">
        <v>167</v>
      </c>
      <c r="H124" s="7">
        <v>1</v>
      </c>
      <c r="I124" s="13">
        <v>0.25</v>
      </c>
      <c r="J124" s="7">
        <v>1</v>
      </c>
      <c r="K124" s="12">
        <v>4</v>
      </c>
      <c r="L124" s="7">
        <v>1</v>
      </c>
      <c r="M124" s="2">
        <f t="shared" si="16"/>
        <v>-3</v>
      </c>
      <c r="N124" s="9">
        <v>9</v>
      </c>
      <c r="O124" s="9">
        <v>6</v>
      </c>
      <c r="P124">
        <f t="shared" si="17"/>
        <v>-3</v>
      </c>
      <c r="Q124" s="9">
        <v>3</v>
      </c>
      <c r="R124" s="9">
        <v>3</v>
      </c>
      <c r="S124">
        <f t="shared" si="18"/>
        <v>0</v>
      </c>
      <c r="T124">
        <v>5</v>
      </c>
      <c r="U124">
        <v>3</v>
      </c>
      <c r="V124">
        <f t="shared" si="19"/>
        <v>-2</v>
      </c>
      <c r="W124">
        <v>2</v>
      </c>
      <c r="X124">
        <v>2</v>
      </c>
      <c r="Y124">
        <f t="shared" si="20"/>
        <v>0</v>
      </c>
      <c r="Z124">
        <f t="shared" si="15"/>
        <v>0</v>
      </c>
      <c r="AA124" s="2">
        <v>0</v>
      </c>
      <c r="AB124" s="2">
        <v>0</v>
      </c>
      <c r="AC124" s="2">
        <v>0</v>
      </c>
      <c r="AD124" s="2">
        <f t="shared" si="21"/>
        <v>0</v>
      </c>
      <c r="AE124" s="2">
        <v>0</v>
      </c>
      <c r="AF124" s="2">
        <v>0</v>
      </c>
      <c r="AG124" s="2">
        <v>0</v>
      </c>
      <c r="AH124" s="2">
        <v>0</v>
      </c>
      <c r="AI124" s="2">
        <v>1</v>
      </c>
      <c r="AJ124" s="2">
        <v>0</v>
      </c>
      <c r="AK124" s="2">
        <v>0</v>
      </c>
      <c r="AL124" s="2">
        <v>0</v>
      </c>
      <c r="AM124">
        <f t="shared" si="22"/>
        <v>1</v>
      </c>
      <c r="AN124" s="2" t="s">
        <v>140</v>
      </c>
    </row>
    <row r="125" spans="1:40" x14ac:dyDescent="0.35">
      <c r="A125" s="7">
        <v>194</v>
      </c>
      <c r="B125" s="7" t="s">
        <v>163</v>
      </c>
      <c r="C125" s="7">
        <v>-0.37</v>
      </c>
      <c r="D125" s="2">
        <v>90</v>
      </c>
      <c r="E125" s="7" t="s">
        <v>141</v>
      </c>
      <c r="F125" t="s">
        <v>53</v>
      </c>
      <c r="G125" t="s">
        <v>166</v>
      </c>
      <c r="H125" s="7">
        <v>1</v>
      </c>
      <c r="I125" s="13">
        <v>1</v>
      </c>
      <c r="J125" s="7">
        <v>1</v>
      </c>
      <c r="K125" s="12">
        <v>3</v>
      </c>
      <c r="L125" s="7">
        <v>3</v>
      </c>
      <c r="M125" s="2">
        <f t="shared" si="16"/>
        <v>0</v>
      </c>
      <c r="N125" s="9">
        <v>6</v>
      </c>
      <c r="O125" s="9">
        <v>8</v>
      </c>
      <c r="P125">
        <f t="shared" si="17"/>
        <v>2</v>
      </c>
      <c r="Q125" s="9">
        <v>1</v>
      </c>
      <c r="R125" s="9">
        <v>1</v>
      </c>
      <c r="S125">
        <f t="shared" si="18"/>
        <v>0</v>
      </c>
      <c r="T125">
        <v>3</v>
      </c>
      <c r="U125">
        <v>3</v>
      </c>
      <c r="V125">
        <f t="shared" si="19"/>
        <v>0</v>
      </c>
      <c r="W125">
        <v>1</v>
      </c>
      <c r="X125">
        <v>1</v>
      </c>
      <c r="Y125">
        <f t="shared" si="20"/>
        <v>0</v>
      </c>
      <c r="Z125">
        <f t="shared" si="15"/>
        <v>0</v>
      </c>
      <c r="AA125" s="2">
        <v>0</v>
      </c>
      <c r="AB125" s="2">
        <v>0</v>
      </c>
      <c r="AC125" s="2">
        <v>0</v>
      </c>
      <c r="AD125" s="2">
        <f t="shared" si="21"/>
        <v>0</v>
      </c>
      <c r="AE125" s="2">
        <v>0</v>
      </c>
      <c r="AF125" s="2">
        <v>1</v>
      </c>
      <c r="AG125" s="2">
        <v>0</v>
      </c>
      <c r="AH125" s="2">
        <v>1</v>
      </c>
      <c r="AI125" s="2">
        <v>0</v>
      </c>
      <c r="AJ125" s="2">
        <v>0</v>
      </c>
      <c r="AK125" s="2">
        <v>1</v>
      </c>
      <c r="AL125" s="2">
        <v>0</v>
      </c>
      <c r="AM125">
        <f t="shared" si="22"/>
        <v>0</v>
      </c>
      <c r="AN125" s="2" t="s">
        <v>6</v>
      </c>
    </row>
    <row r="126" spans="1:40" x14ac:dyDescent="0.35">
      <c r="A126" s="7">
        <v>195</v>
      </c>
      <c r="B126" s="7" t="s">
        <v>16</v>
      </c>
      <c r="C126">
        <v>1.61</v>
      </c>
      <c r="D126" s="2">
        <v>38</v>
      </c>
      <c r="E126" s="7" t="s">
        <v>52</v>
      </c>
      <c r="F126" t="s">
        <v>55</v>
      </c>
      <c r="G126" t="s">
        <v>166</v>
      </c>
      <c r="H126" s="7">
        <v>1</v>
      </c>
      <c r="I126" s="13">
        <v>1</v>
      </c>
      <c r="J126" s="7">
        <v>1</v>
      </c>
      <c r="K126" s="12">
        <v>4</v>
      </c>
      <c r="L126" s="7">
        <v>2</v>
      </c>
      <c r="M126" s="2">
        <f t="shared" si="16"/>
        <v>-2</v>
      </c>
      <c r="N126" s="9">
        <v>7</v>
      </c>
      <c r="O126" s="9">
        <v>1</v>
      </c>
      <c r="P126">
        <f t="shared" si="17"/>
        <v>-6</v>
      </c>
      <c r="Q126" s="9">
        <v>3</v>
      </c>
      <c r="R126" s="9">
        <v>3</v>
      </c>
      <c r="S126">
        <f t="shared" si="18"/>
        <v>0</v>
      </c>
      <c r="T126">
        <v>3</v>
      </c>
      <c r="U126">
        <v>4</v>
      </c>
      <c r="V126">
        <f t="shared" si="19"/>
        <v>1</v>
      </c>
      <c r="W126">
        <v>1</v>
      </c>
      <c r="X126">
        <v>2</v>
      </c>
      <c r="Y126">
        <f t="shared" si="20"/>
        <v>1</v>
      </c>
      <c r="Z126">
        <f t="shared" si="15"/>
        <v>0</v>
      </c>
      <c r="AA126" s="2">
        <v>0</v>
      </c>
      <c r="AB126" s="2">
        <v>1</v>
      </c>
      <c r="AC126" s="2">
        <v>0</v>
      </c>
      <c r="AD126" s="2">
        <f t="shared" si="21"/>
        <v>1</v>
      </c>
      <c r="AE126" s="2">
        <v>0</v>
      </c>
      <c r="AF126" s="2">
        <v>1</v>
      </c>
      <c r="AG126" s="2">
        <v>0</v>
      </c>
      <c r="AH126" s="2">
        <v>1</v>
      </c>
      <c r="AI126" s="2">
        <v>1</v>
      </c>
      <c r="AJ126" s="2">
        <v>1</v>
      </c>
      <c r="AK126" s="2">
        <v>1</v>
      </c>
      <c r="AL126" s="2">
        <v>0</v>
      </c>
      <c r="AM126">
        <f t="shared" si="22"/>
        <v>0</v>
      </c>
      <c r="AN126" s="2" t="s">
        <v>8</v>
      </c>
    </row>
    <row r="127" spans="1:40" x14ac:dyDescent="0.35">
      <c r="A127" s="7">
        <v>197</v>
      </c>
      <c r="B127" s="7" t="s">
        <v>16</v>
      </c>
      <c r="C127">
        <v>1.61</v>
      </c>
      <c r="D127" s="2">
        <v>37</v>
      </c>
      <c r="E127" s="7" t="s">
        <v>52</v>
      </c>
      <c r="F127" t="s">
        <v>54</v>
      </c>
      <c r="G127" t="s">
        <v>166</v>
      </c>
      <c r="H127" s="7">
        <v>1</v>
      </c>
      <c r="I127" s="13">
        <v>0.75</v>
      </c>
      <c r="J127" s="7">
        <v>1</v>
      </c>
      <c r="K127" s="12">
        <v>2</v>
      </c>
      <c r="L127" s="7">
        <v>2</v>
      </c>
      <c r="M127" s="2">
        <f t="shared" si="16"/>
        <v>0</v>
      </c>
      <c r="N127" s="9">
        <v>8</v>
      </c>
      <c r="O127" s="9">
        <v>2</v>
      </c>
      <c r="P127">
        <f t="shared" si="17"/>
        <v>-6</v>
      </c>
      <c r="Q127" s="9">
        <v>2</v>
      </c>
      <c r="R127" s="9">
        <v>2</v>
      </c>
      <c r="S127">
        <f t="shared" si="18"/>
        <v>0</v>
      </c>
      <c r="T127">
        <v>3</v>
      </c>
      <c r="U127">
        <v>3</v>
      </c>
      <c r="V127">
        <f t="shared" si="19"/>
        <v>0</v>
      </c>
      <c r="W127">
        <v>1</v>
      </c>
      <c r="X127">
        <v>1</v>
      </c>
      <c r="Y127">
        <f t="shared" si="20"/>
        <v>0</v>
      </c>
      <c r="Z127">
        <f t="shared" si="15"/>
        <v>0</v>
      </c>
      <c r="AA127" s="2">
        <v>1</v>
      </c>
      <c r="AB127" s="2">
        <v>1</v>
      </c>
      <c r="AC127" s="2">
        <v>1</v>
      </c>
      <c r="AD127" s="2">
        <f t="shared" si="21"/>
        <v>1</v>
      </c>
      <c r="AE127" s="2">
        <v>1</v>
      </c>
      <c r="AF127" s="2">
        <v>1</v>
      </c>
      <c r="AG127" s="2">
        <v>0</v>
      </c>
      <c r="AH127" s="2">
        <v>1</v>
      </c>
      <c r="AI127" s="2">
        <v>0</v>
      </c>
      <c r="AJ127" s="2">
        <v>0</v>
      </c>
      <c r="AK127" s="2">
        <v>1</v>
      </c>
      <c r="AL127" s="2">
        <v>0</v>
      </c>
      <c r="AM127">
        <f t="shared" si="22"/>
        <v>0</v>
      </c>
      <c r="AN127" s="2" t="s">
        <v>137</v>
      </c>
    </row>
    <row r="128" spans="1:40" x14ac:dyDescent="0.35">
      <c r="A128" s="7">
        <v>198</v>
      </c>
      <c r="B128" s="7" t="s">
        <v>127</v>
      </c>
      <c r="C128" s="9">
        <v>1.81</v>
      </c>
      <c r="D128" s="2">
        <v>22</v>
      </c>
      <c r="E128" s="7" t="s">
        <v>162</v>
      </c>
      <c r="F128" t="s">
        <v>55</v>
      </c>
      <c r="G128" t="s">
        <v>166</v>
      </c>
      <c r="H128">
        <v>0</v>
      </c>
      <c r="I128" s="13">
        <v>0.5</v>
      </c>
      <c r="J128" s="7">
        <v>1</v>
      </c>
      <c r="K128" s="12">
        <v>1</v>
      </c>
      <c r="L128" s="7">
        <v>1</v>
      </c>
      <c r="M128" s="2">
        <f t="shared" si="16"/>
        <v>0</v>
      </c>
      <c r="N128" s="9">
        <v>2</v>
      </c>
      <c r="O128" s="9">
        <v>2</v>
      </c>
      <c r="P128">
        <f t="shared" si="17"/>
        <v>0</v>
      </c>
      <c r="Q128" s="9">
        <v>1</v>
      </c>
      <c r="R128" s="9">
        <v>1</v>
      </c>
      <c r="S128">
        <f t="shared" si="18"/>
        <v>0</v>
      </c>
      <c r="T128">
        <v>1</v>
      </c>
      <c r="U128">
        <v>1</v>
      </c>
      <c r="V128">
        <f t="shared" si="19"/>
        <v>0</v>
      </c>
      <c r="W128">
        <v>1</v>
      </c>
      <c r="X128">
        <v>1</v>
      </c>
      <c r="Y128">
        <f t="shared" si="20"/>
        <v>0</v>
      </c>
      <c r="Z128">
        <f t="shared" si="15"/>
        <v>0</v>
      </c>
      <c r="AA128" s="2">
        <v>0</v>
      </c>
      <c r="AB128" s="2">
        <v>0</v>
      </c>
      <c r="AC128" s="2">
        <v>1</v>
      </c>
      <c r="AD128" s="2">
        <f t="shared" si="21"/>
        <v>1</v>
      </c>
      <c r="AE128" s="2">
        <v>1</v>
      </c>
      <c r="AF128" s="2">
        <v>0</v>
      </c>
      <c r="AG128" s="2">
        <v>0</v>
      </c>
      <c r="AH128" s="2">
        <v>0</v>
      </c>
      <c r="AI128" s="2">
        <v>0</v>
      </c>
      <c r="AJ128" s="2">
        <v>0</v>
      </c>
      <c r="AK128" s="2">
        <v>1</v>
      </c>
      <c r="AL128" s="2">
        <v>1</v>
      </c>
      <c r="AM128">
        <f t="shared" si="22"/>
        <v>0</v>
      </c>
      <c r="AN128" s="2" t="s">
        <v>138</v>
      </c>
    </row>
    <row r="129" spans="1:40" x14ac:dyDescent="0.35">
      <c r="A129" s="7">
        <v>200</v>
      </c>
      <c r="B129" s="7" t="s">
        <v>163</v>
      </c>
      <c r="C129" s="7">
        <v>-0.37</v>
      </c>
      <c r="D129" s="2">
        <v>80</v>
      </c>
      <c r="E129" s="7" t="s">
        <v>52</v>
      </c>
      <c r="F129" t="s">
        <v>54</v>
      </c>
      <c r="G129" t="s">
        <v>166</v>
      </c>
      <c r="H129" s="7">
        <v>1</v>
      </c>
      <c r="I129" s="13">
        <v>0.25</v>
      </c>
      <c r="J129" s="7">
        <v>1</v>
      </c>
      <c r="K129" s="12">
        <v>2</v>
      </c>
      <c r="L129" s="7">
        <v>2</v>
      </c>
      <c r="M129" s="2">
        <f t="shared" si="16"/>
        <v>0</v>
      </c>
      <c r="N129" s="9">
        <v>8</v>
      </c>
      <c r="O129" s="9">
        <v>8</v>
      </c>
      <c r="P129">
        <f t="shared" si="17"/>
        <v>0</v>
      </c>
      <c r="Q129" s="9">
        <v>1</v>
      </c>
      <c r="R129" s="9">
        <v>1</v>
      </c>
      <c r="S129">
        <f t="shared" si="18"/>
        <v>0</v>
      </c>
      <c r="T129">
        <v>4</v>
      </c>
      <c r="U129">
        <v>4</v>
      </c>
      <c r="V129">
        <f t="shared" si="19"/>
        <v>0</v>
      </c>
      <c r="W129">
        <v>1</v>
      </c>
      <c r="X129">
        <v>1</v>
      </c>
      <c r="Y129">
        <f t="shared" si="20"/>
        <v>0</v>
      </c>
      <c r="Z129">
        <f t="shared" si="15"/>
        <v>0</v>
      </c>
      <c r="AA129" s="12">
        <v>0</v>
      </c>
      <c r="AB129" s="2">
        <v>0</v>
      </c>
      <c r="AC129" s="2">
        <v>0</v>
      </c>
      <c r="AD129" s="2">
        <f t="shared" si="21"/>
        <v>0</v>
      </c>
      <c r="AE129" s="2">
        <v>0</v>
      </c>
      <c r="AF129" s="2">
        <v>0</v>
      </c>
      <c r="AG129" s="2">
        <v>0</v>
      </c>
      <c r="AH129" s="2">
        <v>1</v>
      </c>
      <c r="AI129" s="2">
        <v>0</v>
      </c>
      <c r="AJ129" s="2">
        <v>0</v>
      </c>
      <c r="AK129" s="2">
        <v>0</v>
      </c>
      <c r="AL129" s="2">
        <v>0</v>
      </c>
      <c r="AM129">
        <f t="shared" si="22"/>
        <v>0</v>
      </c>
      <c r="AN129" s="2" t="s">
        <v>140</v>
      </c>
    </row>
    <row r="130" spans="1:40" x14ac:dyDescent="0.35">
      <c r="A130" s="7">
        <v>201</v>
      </c>
      <c r="B130" s="7" t="s">
        <v>163</v>
      </c>
      <c r="C130" s="7">
        <v>-0.37</v>
      </c>
      <c r="D130" s="2">
        <v>14</v>
      </c>
      <c r="E130" s="7" t="s">
        <v>52</v>
      </c>
      <c r="F130" t="s">
        <v>56</v>
      </c>
      <c r="G130" s="7" t="s">
        <v>167</v>
      </c>
      <c r="H130" s="7">
        <v>1</v>
      </c>
      <c r="I130" s="13">
        <v>0.5</v>
      </c>
      <c r="J130" s="7">
        <v>1</v>
      </c>
      <c r="K130" s="12">
        <v>10</v>
      </c>
      <c r="L130" s="7">
        <v>8</v>
      </c>
      <c r="M130" s="2">
        <f t="shared" si="16"/>
        <v>-2</v>
      </c>
      <c r="N130" s="9">
        <v>5</v>
      </c>
      <c r="O130" s="9">
        <v>4</v>
      </c>
      <c r="P130">
        <f t="shared" si="17"/>
        <v>-1</v>
      </c>
      <c r="Q130" s="9">
        <v>2</v>
      </c>
      <c r="R130" s="9">
        <v>2</v>
      </c>
      <c r="S130">
        <f t="shared" si="18"/>
        <v>0</v>
      </c>
      <c r="T130">
        <v>3</v>
      </c>
      <c r="U130">
        <v>4</v>
      </c>
      <c r="V130">
        <f t="shared" si="19"/>
        <v>1</v>
      </c>
      <c r="W130">
        <v>1</v>
      </c>
      <c r="X130">
        <v>1</v>
      </c>
      <c r="Y130">
        <f t="shared" si="20"/>
        <v>0</v>
      </c>
      <c r="Z130">
        <f t="shared" si="15"/>
        <v>0</v>
      </c>
      <c r="AA130" s="12">
        <v>0</v>
      </c>
      <c r="AB130" s="2">
        <v>1</v>
      </c>
      <c r="AC130" s="2">
        <v>0</v>
      </c>
      <c r="AD130" s="2">
        <f t="shared" si="21"/>
        <v>1</v>
      </c>
      <c r="AE130" s="2">
        <v>0</v>
      </c>
      <c r="AF130" s="2">
        <v>1</v>
      </c>
      <c r="AG130" s="2">
        <v>0</v>
      </c>
      <c r="AH130" s="2">
        <v>1</v>
      </c>
      <c r="AI130" s="2">
        <v>1</v>
      </c>
      <c r="AJ130" s="2">
        <v>0</v>
      </c>
      <c r="AK130" s="2">
        <v>1</v>
      </c>
      <c r="AL130" s="2">
        <v>0</v>
      </c>
      <c r="AM130">
        <f t="shared" si="22"/>
        <v>0</v>
      </c>
      <c r="AN130" s="2" t="s">
        <v>6</v>
      </c>
    </row>
    <row r="131" spans="1:40" x14ac:dyDescent="0.35">
      <c r="A131" s="7">
        <v>205</v>
      </c>
      <c r="B131" s="7" t="s">
        <v>18</v>
      </c>
      <c r="C131">
        <v>-0.04</v>
      </c>
      <c r="D131" s="5">
        <v>12</v>
      </c>
      <c r="E131" s="7" t="s">
        <v>61</v>
      </c>
      <c r="F131" t="s">
        <v>56</v>
      </c>
      <c r="G131" s="7" t="s">
        <v>167</v>
      </c>
      <c r="H131">
        <v>0</v>
      </c>
      <c r="I131" s="13">
        <v>0.25</v>
      </c>
      <c r="J131" s="7">
        <v>1</v>
      </c>
      <c r="K131" s="12">
        <v>2</v>
      </c>
      <c r="L131" s="7">
        <v>2</v>
      </c>
      <c r="M131" s="2">
        <f t="shared" si="16"/>
        <v>0</v>
      </c>
      <c r="N131" s="9">
        <v>3</v>
      </c>
      <c r="O131" s="9">
        <v>3</v>
      </c>
      <c r="P131">
        <f t="shared" si="17"/>
        <v>0</v>
      </c>
      <c r="Q131" s="9">
        <v>1</v>
      </c>
      <c r="R131" s="9">
        <v>1</v>
      </c>
      <c r="S131">
        <f t="shared" si="18"/>
        <v>0</v>
      </c>
      <c r="T131">
        <v>1</v>
      </c>
      <c r="U131">
        <v>2</v>
      </c>
      <c r="V131">
        <f t="shared" si="19"/>
        <v>1</v>
      </c>
      <c r="W131">
        <v>0</v>
      </c>
      <c r="X131">
        <v>1</v>
      </c>
      <c r="Y131">
        <f t="shared" si="20"/>
        <v>1</v>
      </c>
      <c r="Z131">
        <f t="shared" ref="Z131:Z150" si="23">IF(OR(Y131&lt;0, X131&lt;1), 1, 0)</f>
        <v>0</v>
      </c>
      <c r="AA131" s="12">
        <v>0</v>
      </c>
      <c r="AB131" s="2">
        <v>0</v>
      </c>
      <c r="AC131" s="2">
        <v>0</v>
      </c>
      <c r="AD131" s="2">
        <f t="shared" si="21"/>
        <v>0</v>
      </c>
      <c r="AE131" s="2">
        <v>0</v>
      </c>
      <c r="AF131" s="2">
        <v>1</v>
      </c>
      <c r="AG131" s="2">
        <v>0</v>
      </c>
      <c r="AH131" s="2">
        <v>1</v>
      </c>
      <c r="AI131" s="2">
        <v>0</v>
      </c>
      <c r="AJ131" s="2">
        <v>0</v>
      </c>
      <c r="AK131" s="2">
        <v>0</v>
      </c>
      <c r="AL131" s="2">
        <v>1</v>
      </c>
      <c r="AM131">
        <f t="shared" si="22"/>
        <v>0</v>
      </c>
      <c r="AN131" s="5" t="s">
        <v>39</v>
      </c>
    </row>
    <row r="132" spans="1:40" x14ac:dyDescent="0.35">
      <c r="A132" s="7">
        <v>206</v>
      </c>
      <c r="B132" s="7" t="s">
        <v>18</v>
      </c>
      <c r="C132">
        <v>-0.04</v>
      </c>
      <c r="D132" s="5">
        <v>13</v>
      </c>
      <c r="E132" s="7" t="s">
        <v>160</v>
      </c>
      <c r="F132" t="s">
        <v>53</v>
      </c>
      <c r="G132" t="s">
        <v>166</v>
      </c>
      <c r="H132">
        <v>0</v>
      </c>
      <c r="I132" s="13">
        <v>0.25</v>
      </c>
      <c r="J132" s="7">
        <v>1</v>
      </c>
      <c r="K132" s="12">
        <v>3</v>
      </c>
      <c r="L132" s="7">
        <v>3</v>
      </c>
      <c r="M132" s="2">
        <f t="shared" si="16"/>
        <v>0</v>
      </c>
      <c r="N132" s="9">
        <v>8</v>
      </c>
      <c r="O132" s="9">
        <v>7</v>
      </c>
      <c r="P132">
        <f t="shared" si="17"/>
        <v>-1</v>
      </c>
      <c r="Q132" s="9">
        <v>2</v>
      </c>
      <c r="R132" s="9">
        <v>2</v>
      </c>
      <c r="S132">
        <f t="shared" si="18"/>
        <v>0</v>
      </c>
      <c r="T132">
        <v>2</v>
      </c>
      <c r="U132">
        <v>2</v>
      </c>
      <c r="V132">
        <f t="shared" si="19"/>
        <v>0</v>
      </c>
      <c r="W132">
        <v>0</v>
      </c>
      <c r="X132">
        <v>1</v>
      </c>
      <c r="Y132">
        <f t="shared" si="20"/>
        <v>1</v>
      </c>
      <c r="Z132">
        <f t="shared" si="23"/>
        <v>0</v>
      </c>
      <c r="AA132" s="12">
        <v>0</v>
      </c>
      <c r="AB132" s="2">
        <v>0</v>
      </c>
      <c r="AC132" s="2">
        <v>0</v>
      </c>
      <c r="AD132" s="2">
        <f t="shared" si="21"/>
        <v>0</v>
      </c>
      <c r="AE132" s="2">
        <v>0</v>
      </c>
      <c r="AF132" s="2">
        <v>0</v>
      </c>
      <c r="AG132" s="2">
        <v>0</v>
      </c>
      <c r="AH132" s="2">
        <v>1</v>
      </c>
      <c r="AI132" s="2">
        <v>0</v>
      </c>
      <c r="AJ132" s="2">
        <v>0</v>
      </c>
      <c r="AK132" s="2">
        <v>1</v>
      </c>
      <c r="AL132" s="2">
        <v>0</v>
      </c>
      <c r="AM132">
        <f t="shared" si="22"/>
        <v>0</v>
      </c>
      <c r="AN132" s="5" t="s">
        <v>39</v>
      </c>
    </row>
    <row r="133" spans="1:40" x14ac:dyDescent="0.35">
      <c r="A133" s="7">
        <v>207</v>
      </c>
      <c r="B133" s="7" t="s">
        <v>163</v>
      </c>
      <c r="C133" s="7">
        <v>-0.37</v>
      </c>
      <c r="D133" s="2">
        <v>14</v>
      </c>
      <c r="E133" s="7" t="s">
        <v>162</v>
      </c>
      <c r="F133" t="s">
        <v>55</v>
      </c>
      <c r="G133" t="s">
        <v>166</v>
      </c>
      <c r="H133" s="7">
        <v>1</v>
      </c>
      <c r="I133" s="13">
        <v>0.25</v>
      </c>
      <c r="J133" s="7">
        <v>1</v>
      </c>
      <c r="K133" s="12">
        <v>2</v>
      </c>
      <c r="L133" s="7">
        <v>2</v>
      </c>
      <c r="M133" s="2">
        <f t="shared" si="16"/>
        <v>0</v>
      </c>
      <c r="N133" s="9">
        <v>8</v>
      </c>
      <c r="O133" s="9">
        <v>7</v>
      </c>
      <c r="P133">
        <f t="shared" si="17"/>
        <v>-1</v>
      </c>
      <c r="Q133" s="9">
        <v>3</v>
      </c>
      <c r="R133" s="9">
        <v>3</v>
      </c>
      <c r="S133">
        <f t="shared" si="18"/>
        <v>0</v>
      </c>
      <c r="T133">
        <v>5</v>
      </c>
      <c r="U133">
        <v>3</v>
      </c>
      <c r="V133">
        <f t="shared" si="19"/>
        <v>-2</v>
      </c>
      <c r="W133">
        <v>2</v>
      </c>
      <c r="X133">
        <v>2</v>
      </c>
      <c r="Y133">
        <f t="shared" si="20"/>
        <v>0</v>
      </c>
      <c r="Z133">
        <f t="shared" si="23"/>
        <v>0</v>
      </c>
      <c r="AA133" s="12">
        <v>0</v>
      </c>
      <c r="AB133" s="2">
        <v>1</v>
      </c>
      <c r="AC133" s="2">
        <v>0</v>
      </c>
      <c r="AD133" s="2">
        <f t="shared" si="21"/>
        <v>1</v>
      </c>
      <c r="AE133" s="2">
        <v>0</v>
      </c>
      <c r="AF133" s="2">
        <v>1</v>
      </c>
      <c r="AG133" s="2">
        <v>0</v>
      </c>
      <c r="AH133" s="2">
        <v>1</v>
      </c>
      <c r="AI133" s="2">
        <v>0</v>
      </c>
      <c r="AJ133" s="2">
        <v>1</v>
      </c>
      <c r="AK133" s="2">
        <v>1</v>
      </c>
      <c r="AL133" s="2">
        <v>0</v>
      </c>
      <c r="AM133">
        <f t="shared" si="22"/>
        <v>0</v>
      </c>
      <c r="AN133" s="2" t="s">
        <v>136</v>
      </c>
    </row>
    <row r="134" spans="1:40" x14ac:dyDescent="0.35">
      <c r="A134" s="7">
        <v>208</v>
      </c>
      <c r="B134" s="7" t="s">
        <v>127</v>
      </c>
      <c r="C134" s="9">
        <v>1.81</v>
      </c>
      <c r="D134" s="2">
        <v>12</v>
      </c>
      <c r="E134" s="7" t="s">
        <v>141</v>
      </c>
      <c r="F134" t="s">
        <v>53</v>
      </c>
      <c r="G134" t="s">
        <v>166</v>
      </c>
      <c r="H134">
        <v>0</v>
      </c>
      <c r="I134" s="13">
        <v>0.75</v>
      </c>
      <c r="J134" s="7">
        <v>1</v>
      </c>
      <c r="K134" s="12">
        <v>4</v>
      </c>
      <c r="L134" s="7">
        <v>4</v>
      </c>
      <c r="M134" s="2">
        <f t="shared" si="16"/>
        <v>0</v>
      </c>
      <c r="N134" s="9">
        <v>8</v>
      </c>
      <c r="O134" s="9">
        <v>2</v>
      </c>
      <c r="P134">
        <f t="shared" si="17"/>
        <v>-6</v>
      </c>
      <c r="Q134" s="9">
        <v>3</v>
      </c>
      <c r="R134" s="9">
        <v>3</v>
      </c>
      <c r="S134">
        <f t="shared" si="18"/>
        <v>0</v>
      </c>
      <c r="T134">
        <v>1</v>
      </c>
      <c r="U134">
        <v>1</v>
      </c>
      <c r="V134">
        <f t="shared" si="19"/>
        <v>0</v>
      </c>
      <c r="W134">
        <v>1</v>
      </c>
      <c r="X134">
        <v>1</v>
      </c>
      <c r="Y134">
        <f t="shared" si="20"/>
        <v>0</v>
      </c>
      <c r="Z134">
        <f t="shared" si="23"/>
        <v>0</v>
      </c>
      <c r="AA134" s="12">
        <v>0</v>
      </c>
      <c r="AB134" s="2">
        <v>1</v>
      </c>
      <c r="AC134" s="2">
        <v>0</v>
      </c>
      <c r="AD134" s="2">
        <f t="shared" si="21"/>
        <v>1</v>
      </c>
      <c r="AE134" s="2">
        <v>0</v>
      </c>
      <c r="AF134" s="2">
        <v>0</v>
      </c>
      <c r="AG134" s="2">
        <v>0</v>
      </c>
      <c r="AH134" s="2">
        <v>1</v>
      </c>
      <c r="AI134" s="2">
        <v>0</v>
      </c>
      <c r="AJ134" s="2">
        <v>0</v>
      </c>
      <c r="AK134" s="2">
        <v>0</v>
      </c>
      <c r="AL134" s="2">
        <v>1</v>
      </c>
      <c r="AM134">
        <f t="shared" si="22"/>
        <v>0</v>
      </c>
      <c r="AN134" s="2" t="s">
        <v>43</v>
      </c>
    </row>
    <row r="135" spans="1:40" x14ac:dyDescent="0.35">
      <c r="A135" s="7">
        <v>209</v>
      </c>
      <c r="B135" s="7" t="s">
        <v>163</v>
      </c>
      <c r="C135" s="7">
        <v>-0.37</v>
      </c>
      <c r="D135" s="2">
        <v>40</v>
      </c>
      <c r="E135" s="7" t="s">
        <v>52</v>
      </c>
      <c r="F135" t="s">
        <v>56</v>
      </c>
      <c r="G135" t="s">
        <v>166</v>
      </c>
      <c r="H135" s="7">
        <v>1</v>
      </c>
      <c r="I135" s="13">
        <v>0.25</v>
      </c>
      <c r="J135" s="7">
        <v>1</v>
      </c>
      <c r="K135" s="12">
        <v>10</v>
      </c>
      <c r="L135" s="7">
        <v>7</v>
      </c>
      <c r="M135" s="2">
        <f t="shared" si="16"/>
        <v>-3</v>
      </c>
      <c r="N135" s="9">
        <v>5</v>
      </c>
      <c r="O135" s="9">
        <v>3</v>
      </c>
      <c r="P135">
        <f t="shared" si="17"/>
        <v>-2</v>
      </c>
      <c r="Q135" s="9">
        <v>1</v>
      </c>
      <c r="R135" s="9">
        <v>2</v>
      </c>
      <c r="S135">
        <f t="shared" si="18"/>
        <v>1</v>
      </c>
      <c r="T135">
        <v>5</v>
      </c>
      <c r="U135">
        <v>3</v>
      </c>
      <c r="V135">
        <f t="shared" si="19"/>
        <v>-2</v>
      </c>
      <c r="W135">
        <v>1</v>
      </c>
      <c r="X135">
        <v>2</v>
      </c>
      <c r="Y135">
        <f t="shared" si="20"/>
        <v>1</v>
      </c>
      <c r="Z135">
        <f t="shared" si="23"/>
        <v>0</v>
      </c>
      <c r="AA135" s="12">
        <v>0</v>
      </c>
      <c r="AB135" s="2">
        <v>0</v>
      </c>
      <c r="AC135" s="2">
        <v>1</v>
      </c>
      <c r="AD135" s="2">
        <f t="shared" si="21"/>
        <v>1</v>
      </c>
      <c r="AE135" s="2">
        <v>0</v>
      </c>
      <c r="AF135" s="2">
        <v>1</v>
      </c>
      <c r="AG135" s="2">
        <v>0</v>
      </c>
      <c r="AH135" s="2">
        <v>0</v>
      </c>
      <c r="AI135" s="2">
        <v>1</v>
      </c>
      <c r="AJ135" s="2">
        <v>0</v>
      </c>
      <c r="AK135" s="2">
        <v>1</v>
      </c>
      <c r="AL135" s="2">
        <v>0</v>
      </c>
      <c r="AM135">
        <f t="shared" si="22"/>
        <v>0</v>
      </c>
      <c r="AN135" s="2" t="s">
        <v>6</v>
      </c>
    </row>
    <row r="136" spans="1:40" x14ac:dyDescent="0.35">
      <c r="A136" s="7">
        <v>210</v>
      </c>
      <c r="B136" t="s">
        <v>16</v>
      </c>
      <c r="C136">
        <v>1.61</v>
      </c>
      <c r="D136" s="2">
        <v>9</v>
      </c>
      <c r="E136" t="s">
        <v>52</v>
      </c>
      <c r="F136" t="s">
        <v>53</v>
      </c>
      <c r="G136" t="s">
        <v>167</v>
      </c>
      <c r="H136">
        <v>1</v>
      </c>
      <c r="I136" s="13">
        <v>0.75</v>
      </c>
      <c r="J136">
        <v>1</v>
      </c>
      <c r="K136" s="12">
        <v>11</v>
      </c>
      <c r="L136" s="7">
        <v>10.5</v>
      </c>
      <c r="M136" s="2">
        <f t="shared" si="16"/>
        <v>-0.5</v>
      </c>
      <c r="N136" s="9">
        <v>7</v>
      </c>
      <c r="O136" s="9">
        <v>2</v>
      </c>
      <c r="P136">
        <f t="shared" si="17"/>
        <v>-5</v>
      </c>
      <c r="Q136" s="9">
        <v>2</v>
      </c>
      <c r="R136" s="9">
        <v>2</v>
      </c>
      <c r="S136">
        <f t="shared" si="18"/>
        <v>0</v>
      </c>
      <c r="T136">
        <v>4</v>
      </c>
      <c r="U136">
        <v>4</v>
      </c>
      <c r="V136">
        <f t="shared" si="19"/>
        <v>0</v>
      </c>
      <c r="W136">
        <v>2</v>
      </c>
      <c r="X136">
        <v>2</v>
      </c>
      <c r="Y136">
        <f t="shared" si="20"/>
        <v>0</v>
      </c>
      <c r="Z136">
        <f t="shared" si="23"/>
        <v>0</v>
      </c>
      <c r="AA136" s="12">
        <v>0</v>
      </c>
      <c r="AB136" s="2">
        <v>1</v>
      </c>
      <c r="AC136" s="2">
        <v>1</v>
      </c>
      <c r="AD136" s="2">
        <f t="shared" si="21"/>
        <v>1</v>
      </c>
      <c r="AE136" s="2">
        <v>1</v>
      </c>
      <c r="AF136" s="2">
        <v>0</v>
      </c>
      <c r="AG136" s="2">
        <v>0</v>
      </c>
      <c r="AH136" s="2">
        <v>1</v>
      </c>
      <c r="AI136" s="2">
        <v>0</v>
      </c>
      <c r="AJ136" s="2">
        <v>0</v>
      </c>
      <c r="AK136" s="2">
        <v>0</v>
      </c>
      <c r="AL136" s="2">
        <v>0</v>
      </c>
      <c r="AM136">
        <f t="shared" si="22"/>
        <v>0</v>
      </c>
      <c r="AN136" s="2" t="s">
        <v>136</v>
      </c>
    </row>
    <row r="137" spans="1:40" x14ac:dyDescent="0.35">
      <c r="A137" s="7">
        <v>211</v>
      </c>
      <c r="B137" t="s">
        <v>18</v>
      </c>
      <c r="C137">
        <v>-0.04</v>
      </c>
      <c r="D137" s="2">
        <v>17</v>
      </c>
      <c r="E137" t="s">
        <v>160</v>
      </c>
      <c r="F137" t="s">
        <v>55</v>
      </c>
      <c r="G137" t="s">
        <v>167</v>
      </c>
      <c r="H137">
        <v>0</v>
      </c>
      <c r="I137" s="13">
        <v>0.25</v>
      </c>
      <c r="J137">
        <v>1</v>
      </c>
      <c r="K137" s="12">
        <v>1</v>
      </c>
      <c r="L137" s="7">
        <v>1</v>
      </c>
      <c r="M137" s="2">
        <f t="shared" si="16"/>
        <v>0</v>
      </c>
      <c r="N137" s="9">
        <v>3</v>
      </c>
      <c r="O137" s="9">
        <v>3</v>
      </c>
      <c r="P137">
        <f t="shared" si="17"/>
        <v>0</v>
      </c>
      <c r="Q137" s="9">
        <v>2</v>
      </c>
      <c r="R137" s="9">
        <v>2</v>
      </c>
      <c r="S137">
        <f t="shared" si="18"/>
        <v>0</v>
      </c>
      <c r="T137">
        <v>1</v>
      </c>
      <c r="U137">
        <v>1</v>
      </c>
      <c r="V137">
        <f t="shared" si="19"/>
        <v>0</v>
      </c>
      <c r="W137">
        <v>0</v>
      </c>
      <c r="X137">
        <v>0</v>
      </c>
      <c r="Y137">
        <f t="shared" si="20"/>
        <v>0</v>
      </c>
      <c r="Z137">
        <f t="shared" si="23"/>
        <v>1</v>
      </c>
      <c r="AA137" s="12">
        <v>0</v>
      </c>
      <c r="AB137" s="2">
        <v>0</v>
      </c>
      <c r="AC137" s="2">
        <v>1</v>
      </c>
      <c r="AD137" s="2">
        <f t="shared" si="21"/>
        <v>1</v>
      </c>
      <c r="AE137" s="2">
        <v>0</v>
      </c>
      <c r="AF137" s="2">
        <v>1</v>
      </c>
      <c r="AG137" s="2">
        <v>0</v>
      </c>
      <c r="AH137" s="2">
        <v>1</v>
      </c>
      <c r="AI137" s="2">
        <v>1</v>
      </c>
      <c r="AJ137" s="2">
        <v>1</v>
      </c>
      <c r="AK137" s="2">
        <v>0</v>
      </c>
      <c r="AL137" s="2">
        <v>0</v>
      </c>
      <c r="AM137">
        <f t="shared" si="22"/>
        <v>0</v>
      </c>
      <c r="AN137" s="2" t="s">
        <v>137</v>
      </c>
    </row>
    <row r="138" spans="1:40" x14ac:dyDescent="0.35">
      <c r="A138" s="7">
        <v>212</v>
      </c>
      <c r="B138" t="s">
        <v>18</v>
      </c>
      <c r="C138">
        <v>-0.04</v>
      </c>
      <c r="D138" s="5">
        <v>98</v>
      </c>
      <c r="E138" t="s">
        <v>160</v>
      </c>
      <c r="F138" t="s">
        <v>53</v>
      </c>
      <c r="G138" t="s">
        <v>166</v>
      </c>
      <c r="H138">
        <v>0</v>
      </c>
      <c r="I138" s="13">
        <v>0.25</v>
      </c>
      <c r="J138">
        <v>1</v>
      </c>
      <c r="K138" s="12">
        <v>2</v>
      </c>
      <c r="L138" s="7">
        <v>2</v>
      </c>
      <c r="M138" s="2">
        <f t="shared" si="16"/>
        <v>0</v>
      </c>
      <c r="N138" s="9">
        <v>8</v>
      </c>
      <c r="O138" s="9">
        <v>7</v>
      </c>
      <c r="P138">
        <f t="shared" si="17"/>
        <v>-1</v>
      </c>
      <c r="Q138" s="9">
        <v>2</v>
      </c>
      <c r="R138" s="9">
        <v>2</v>
      </c>
      <c r="S138">
        <f t="shared" si="18"/>
        <v>0</v>
      </c>
      <c r="T138">
        <v>2</v>
      </c>
      <c r="U138">
        <v>2</v>
      </c>
      <c r="V138">
        <f t="shared" si="19"/>
        <v>0</v>
      </c>
      <c r="W138">
        <v>1</v>
      </c>
      <c r="X138">
        <v>1</v>
      </c>
      <c r="Y138">
        <f t="shared" si="20"/>
        <v>0</v>
      </c>
      <c r="Z138">
        <f t="shared" si="23"/>
        <v>0</v>
      </c>
      <c r="AA138" s="2">
        <v>0</v>
      </c>
      <c r="AB138" s="2">
        <v>0</v>
      </c>
      <c r="AC138" s="2">
        <v>0</v>
      </c>
      <c r="AD138" s="2">
        <f t="shared" si="21"/>
        <v>0</v>
      </c>
      <c r="AE138" s="2">
        <v>0</v>
      </c>
      <c r="AF138" s="2">
        <v>1</v>
      </c>
      <c r="AG138" s="2">
        <v>0</v>
      </c>
      <c r="AH138" s="2">
        <v>1</v>
      </c>
      <c r="AI138" s="2">
        <v>0</v>
      </c>
      <c r="AJ138" s="2">
        <v>0</v>
      </c>
      <c r="AK138" s="2">
        <v>1</v>
      </c>
      <c r="AL138" s="2">
        <v>1</v>
      </c>
      <c r="AM138">
        <f t="shared" si="22"/>
        <v>0</v>
      </c>
      <c r="AN138" s="5" t="s">
        <v>39</v>
      </c>
    </row>
    <row r="139" spans="1:40" x14ac:dyDescent="0.35">
      <c r="A139" s="7">
        <v>215</v>
      </c>
      <c r="B139" t="s">
        <v>127</v>
      </c>
      <c r="C139" s="9">
        <v>1.81</v>
      </c>
      <c r="D139" s="2">
        <v>18</v>
      </c>
      <c r="E139" t="s">
        <v>61</v>
      </c>
      <c r="F139" t="s">
        <v>53</v>
      </c>
      <c r="G139" t="s">
        <v>166</v>
      </c>
      <c r="H139">
        <v>0</v>
      </c>
      <c r="I139" s="13">
        <v>0.75</v>
      </c>
      <c r="J139">
        <v>1</v>
      </c>
      <c r="K139" s="12">
        <v>2</v>
      </c>
      <c r="L139" s="7">
        <v>2</v>
      </c>
      <c r="M139" s="2">
        <f t="shared" si="16"/>
        <v>0</v>
      </c>
      <c r="N139" s="9">
        <v>8</v>
      </c>
      <c r="O139" s="9">
        <v>8</v>
      </c>
      <c r="P139">
        <f t="shared" si="17"/>
        <v>0</v>
      </c>
      <c r="Q139" s="9">
        <v>1</v>
      </c>
      <c r="R139" s="9">
        <v>1</v>
      </c>
      <c r="S139">
        <f t="shared" si="18"/>
        <v>0</v>
      </c>
      <c r="T139">
        <v>1</v>
      </c>
      <c r="U139">
        <v>3</v>
      </c>
      <c r="V139">
        <f t="shared" si="19"/>
        <v>2</v>
      </c>
      <c r="W139">
        <v>0</v>
      </c>
      <c r="X139">
        <v>1</v>
      </c>
      <c r="Y139">
        <f t="shared" si="20"/>
        <v>1</v>
      </c>
      <c r="Z139">
        <f t="shared" si="23"/>
        <v>0</v>
      </c>
      <c r="AA139" s="2">
        <v>0</v>
      </c>
      <c r="AB139" s="2">
        <v>1</v>
      </c>
      <c r="AC139" s="2">
        <v>1</v>
      </c>
      <c r="AD139" s="2">
        <f t="shared" si="21"/>
        <v>1</v>
      </c>
      <c r="AE139" s="2">
        <v>0</v>
      </c>
      <c r="AF139" s="2">
        <v>1</v>
      </c>
      <c r="AG139" s="2">
        <v>0</v>
      </c>
      <c r="AH139" s="2">
        <v>1</v>
      </c>
      <c r="AI139" s="2">
        <v>0</v>
      </c>
      <c r="AJ139" s="2">
        <v>0</v>
      </c>
      <c r="AK139" s="2">
        <v>1</v>
      </c>
      <c r="AL139" s="2">
        <v>1</v>
      </c>
      <c r="AM139">
        <f t="shared" si="22"/>
        <v>0</v>
      </c>
      <c r="AN139" s="2" t="s">
        <v>136</v>
      </c>
    </row>
    <row r="140" spans="1:40" x14ac:dyDescent="0.35">
      <c r="A140" s="7">
        <v>216</v>
      </c>
      <c r="B140" t="s">
        <v>16</v>
      </c>
      <c r="C140">
        <v>1.61</v>
      </c>
      <c r="D140" s="2">
        <v>66</v>
      </c>
      <c r="E140" t="s">
        <v>52</v>
      </c>
      <c r="F140" t="s">
        <v>56</v>
      </c>
      <c r="G140" t="s">
        <v>166</v>
      </c>
      <c r="H140">
        <v>0</v>
      </c>
      <c r="I140" s="13">
        <v>0.5</v>
      </c>
      <c r="J140">
        <v>2</v>
      </c>
      <c r="K140" s="12">
        <v>3</v>
      </c>
      <c r="L140" s="7">
        <v>3</v>
      </c>
      <c r="M140" s="2">
        <f t="shared" ref="M140:M150" si="24">L140-K140</f>
        <v>0</v>
      </c>
      <c r="N140" s="9">
        <v>9</v>
      </c>
      <c r="O140" s="9">
        <v>9</v>
      </c>
      <c r="P140">
        <f t="shared" ref="P140:P150" si="25">O140-N140</f>
        <v>0</v>
      </c>
      <c r="Q140" s="9">
        <v>1</v>
      </c>
      <c r="R140" s="9">
        <v>1</v>
      </c>
      <c r="S140">
        <f t="shared" ref="S140:S150" si="26">R140-Q140</f>
        <v>0</v>
      </c>
      <c r="T140">
        <v>2</v>
      </c>
      <c r="U140">
        <v>2</v>
      </c>
      <c r="V140">
        <f t="shared" ref="V140:V150" si="27">U140-T140</f>
        <v>0</v>
      </c>
      <c r="W140">
        <v>0</v>
      </c>
      <c r="X140">
        <v>1</v>
      </c>
      <c r="Y140">
        <f t="shared" ref="Y140:Y150" si="28">X140-W140</f>
        <v>1</v>
      </c>
      <c r="Z140">
        <f t="shared" si="23"/>
        <v>0</v>
      </c>
      <c r="AA140" s="2">
        <v>0</v>
      </c>
      <c r="AB140" s="2">
        <v>0</v>
      </c>
      <c r="AC140" s="2">
        <v>0</v>
      </c>
      <c r="AD140" s="2">
        <f t="shared" ref="AD140:AD143" si="29">IF(AB140+AC140&gt;0,1,0)</f>
        <v>0</v>
      </c>
      <c r="AE140" s="2">
        <v>0</v>
      </c>
      <c r="AF140" s="2">
        <v>0</v>
      </c>
      <c r="AG140" s="2">
        <v>0</v>
      </c>
      <c r="AH140" s="2">
        <v>0</v>
      </c>
      <c r="AI140" s="2">
        <v>0</v>
      </c>
      <c r="AJ140" s="2">
        <v>0</v>
      </c>
      <c r="AK140" s="2">
        <v>0</v>
      </c>
      <c r="AL140" s="2">
        <v>0</v>
      </c>
      <c r="AM140">
        <f t="shared" ref="AM140:AM143" si="30">IF(AA140+AD140+AE140+AF140+AH140+AK140+AL140=0,1,0)</f>
        <v>1</v>
      </c>
      <c r="AN140" s="2" t="s">
        <v>140</v>
      </c>
    </row>
    <row r="141" spans="1:40" x14ac:dyDescent="0.35">
      <c r="A141" s="7">
        <v>217</v>
      </c>
      <c r="B141" t="s">
        <v>18</v>
      </c>
      <c r="C141">
        <v>-0.04</v>
      </c>
      <c r="D141" s="2">
        <v>135</v>
      </c>
      <c r="E141" t="s">
        <v>62</v>
      </c>
      <c r="F141" t="s">
        <v>55</v>
      </c>
      <c r="G141" t="s">
        <v>166</v>
      </c>
      <c r="H141">
        <v>0</v>
      </c>
      <c r="I141" s="13">
        <v>0.25</v>
      </c>
      <c r="J141">
        <v>1</v>
      </c>
      <c r="K141" s="12">
        <v>5</v>
      </c>
      <c r="L141" s="7">
        <v>5</v>
      </c>
      <c r="M141" s="2">
        <f t="shared" si="24"/>
        <v>0</v>
      </c>
      <c r="N141" s="9">
        <v>5</v>
      </c>
      <c r="O141" s="9">
        <v>4.5</v>
      </c>
      <c r="P141">
        <f t="shared" si="25"/>
        <v>-0.5</v>
      </c>
      <c r="Q141" s="9">
        <v>2</v>
      </c>
      <c r="R141" s="9">
        <v>2</v>
      </c>
      <c r="S141">
        <f t="shared" si="26"/>
        <v>0</v>
      </c>
      <c r="T141">
        <v>3</v>
      </c>
      <c r="U141">
        <v>3</v>
      </c>
      <c r="V141">
        <f t="shared" si="27"/>
        <v>0</v>
      </c>
      <c r="W141">
        <v>2</v>
      </c>
      <c r="X141">
        <v>2</v>
      </c>
      <c r="Y141">
        <f t="shared" si="28"/>
        <v>0</v>
      </c>
      <c r="Z141">
        <f t="shared" si="23"/>
        <v>0</v>
      </c>
      <c r="AA141" s="2">
        <v>0</v>
      </c>
      <c r="AB141" s="2">
        <v>1</v>
      </c>
      <c r="AC141" s="2">
        <v>1</v>
      </c>
      <c r="AD141" s="2">
        <f t="shared" si="29"/>
        <v>1</v>
      </c>
      <c r="AE141" s="2">
        <v>1</v>
      </c>
      <c r="AF141" s="2">
        <v>1</v>
      </c>
      <c r="AG141" s="2">
        <v>0</v>
      </c>
      <c r="AH141" s="2">
        <v>1</v>
      </c>
      <c r="AI141" s="2">
        <v>1</v>
      </c>
      <c r="AJ141" s="2">
        <v>1</v>
      </c>
      <c r="AK141" s="2">
        <v>1</v>
      </c>
      <c r="AL141" s="2">
        <v>0</v>
      </c>
      <c r="AM141">
        <f t="shared" si="30"/>
        <v>0</v>
      </c>
      <c r="AN141" s="2" t="s">
        <v>6</v>
      </c>
    </row>
    <row r="142" spans="1:40" x14ac:dyDescent="0.35">
      <c r="A142" s="7">
        <v>218</v>
      </c>
      <c r="B142" t="s">
        <v>18</v>
      </c>
      <c r="C142">
        <v>-0.04</v>
      </c>
      <c r="D142" s="2">
        <v>137</v>
      </c>
      <c r="E142" t="s">
        <v>62</v>
      </c>
      <c r="F142" t="s">
        <v>53</v>
      </c>
      <c r="G142" t="s">
        <v>166</v>
      </c>
      <c r="H142">
        <v>0</v>
      </c>
      <c r="I142" s="13">
        <v>0.5</v>
      </c>
      <c r="J142">
        <v>1</v>
      </c>
      <c r="K142" s="12">
        <v>4</v>
      </c>
      <c r="L142" s="7">
        <v>3</v>
      </c>
      <c r="M142" s="2">
        <f t="shared" si="24"/>
        <v>-1</v>
      </c>
      <c r="N142" s="9">
        <v>9</v>
      </c>
      <c r="O142" s="9">
        <v>4</v>
      </c>
      <c r="P142">
        <f t="shared" si="25"/>
        <v>-5</v>
      </c>
      <c r="Q142" s="9">
        <v>3</v>
      </c>
      <c r="R142" s="9">
        <v>3</v>
      </c>
      <c r="S142">
        <f t="shared" si="26"/>
        <v>0</v>
      </c>
      <c r="T142">
        <v>3</v>
      </c>
      <c r="U142">
        <v>3</v>
      </c>
      <c r="V142">
        <f t="shared" si="27"/>
        <v>0</v>
      </c>
      <c r="W142">
        <v>2</v>
      </c>
      <c r="X142">
        <v>2</v>
      </c>
      <c r="Y142">
        <f t="shared" si="28"/>
        <v>0</v>
      </c>
      <c r="Z142">
        <f t="shared" si="23"/>
        <v>0</v>
      </c>
      <c r="AA142" s="2">
        <v>0</v>
      </c>
      <c r="AB142" s="2">
        <v>0</v>
      </c>
      <c r="AC142" s="2">
        <v>1</v>
      </c>
      <c r="AD142" s="2">
        <f t="shared" si="29"/>
        <v>1</v>
      </c>
      <c r="AE142" s="2">
        <v>0</v>
      </c>
      <c r="AF142" s="2">
        <v>1</v>
      </c>
      <c r="AG142" s="2">
        <v>0</v>
      </c>
      <c r="AH142" s="2">
        <v>1</v>
      </c>
      <c r="AI142" s="2">
        <v>0</v>
      </c>
      <c r="AJ142" s="2">
        <v>1</v>
      </c>
      <c r="AK142" s="2">
        <v>1</v>
      </c>
      <c r="AL142" s="2">
        <v>0</v>
      </c>
      <c r="AM142">
        <f t="shared" si="30"/>
        <v>0</v>
      </c>
      <c r="AN142" s="2" t="s">
        <v>137</v>
      </c>
    </row>
    <row r="143" spans="1:40" x14ac:dyDescent="0.35">
      <c r="A143" s="7">
        <v>219</v>
      </c>
      <c r="B143" t="s">
        <v>18</v>
      </c>
      <c r="C143">
        <v>-0.04</v>
      </c>
      <c r="D143" s="2">
        <v>135</v>
      </c>
      <c r="E143" t="s">
        <v>62</v>
      </c>
      <c r="F143" t="s">
        <v>53</v>
      </c>
      <c r="G143" t="s">
        <v>166</v>
      </c>
      <c r="H143">
        <v>0</v>
      </c>
      <c r="I143" s="13">
        <v>0.5</v>
      </c>
      <c r="J143">
        <v>1</v>
      </c>
      <c r="K143" s="12">
        <v>3</v>
      </c>
      <c r="L143" s="7">
        <v>3</v>
      </c>
      <c r="M143" s="2">
        <f t="shared" si="24"/>
        <v>0</v>
      </c>
      <c r="N143" s="9">
        <v>5</v>
      </c>
      <c r="O143" s="9">
        <v>5</v>
      </c>
      <c r="P143">
        <f t="shared" si="25"/>
        <v>0</v>
      </c>
      <c r="Q143" s="9">
        <v>3</v>
      </c>
      <c r="R143" s="9">
        <v>3</v>
      </c>
      <c r="S143">
        <f t="shared" si="26"/>
        <v>0</v>
      </c>
      <c r="T143">
        <v>3</v>
      </c>
      <c r="U143">
        <v>3</v>
      </c>
      <c r="V143">
        <f t="shared" si="27"/>
        <v>0</v>
      </c>
      <c r="W143">
        <v>2</v>
      </c>
      <c r="X143">
        <v>2</v>
      </c>
      <c r="Y143">
        <f t="shared" si="28"/>
        <v>0</v>
      </c>
      <c r="Z143">
        <f t="shared" si="23"/>
        <v>0</v>
      </c>
      <c r="AA143" s="2">
        <v>0</v>
      </c>
      <c r="AB143" s="2">
        <v>0</v>
      </c>
      <c r="AC143" s="2">
        <v>1</v>
      </c>
      <c r="AD143" s="2">
        <f t="shared" si="29"/>
        <v>1</v>
      </c>
      <c r="AE143" s="2">
        <v>0</v>
      </c>
      <c r="AF143" s="2">
        <v>1</v>
      </c>
      <c r="AG143" s="2">
        <v>0</v>
      </c>
      <c r="AH143" s="2">
        <v>1</v>
      </c>
      <c r="AI143" s="2">
        <v>0</v>
      </c>
      <c r="AJ143" s="2">
        <v>1</v>
      </c>
      <c r="AK143" s="2">
        <v>1</v>
      </c>
      <c r="AL143" s="2">
        <v>0</v>
      </c>
      <c r="AM143">
        <f t="shared" si="30"/>
        <v>0</v>
      </c>
      <c r="AN143" s="2" t="s">
        <v>6</v>
      </c>
    </row>
    <row r="144" spans="1:40" x14ac:dyDescent="0.35">
      <c r="A144" s="7">
        <v>220</v>
      </c>
      <c r="B144" t="s">
        <v>163</v>
      </c>
      <c r="C144" s="7">
        <v>-0.37</v>
      </c>
      <c r="D144" s="2">
        <v>14</v>
      </c>
      <c r="E144" t="s">
        <v>52</v>
      </c>
      <c r="F144" t="s">
        <v>56</v>
      </c>
      <c r="G144" t="s">
        <v>166</v>
      </c>
      <c r="H144">
        <v>1</v>
      </c>
      <c r="I144" s="13">
        <v>0.75</v>
      </c>
      <c r="J144">
        <v>1</v>
      </c>
      <c r="K144" s="12">
        <v>6</v>
      </c>
      <c r="L144" s="7">
        <v>4</v>
      </c>
      <c r="M144" s="2">
        <f t="shared" si="24"/>
        <v>-2</v>
      </c>
      <c r="N144" s="9">
        <v>9</v>
      </c>
      <c r="O144" s="9">
        <v>3</v>
      </c>
      <c r="P144">
        <f t="shared" si="25"/>
        <v>-6</v>
      </c>
      <c r="Q144" s="9">
        <v>2</v>
      </c>
      <c r="R144" s="9">
        <v>2</v>
      </c>
      <c r="S144">
        <f t="shared" si="26"/>
        <v>0</v>
      </c>
      <c r="T144">
        <v>3</v>
      </c>
      <c r="U144">
        <v>1</v>
      </c>
      <c r="V144">
        <f t="shared" si="27"/>
        <v>-2</v>
      </c>
      <c r="W144">
        <v>1</v>
      </c>
      <c r="X144">
        <v>2</v>
      </c>
      <c r="Y144">
        <f t="shared" si="28"/>
        <v>1</v>
      </c>
      <c r="Z144">
        <f t="shared" si="23"/>
        <v>0</v>
      </c>
      <c r="AA144" s="2">
        <v>0</v>
      </c>
      <c r="AB144" s="2">
        <v>1</v>
      </c>
      <c r="AC144" s="2">
        <v>0</v>
      </c>
      <c r="AD144" s="2">
        <f>IF(AB144+AC144&gt;0,1,0)</f>
        <v>1</v>
      </c>
      <c r="AE144" s="2">
        <v>0</v>
      </c>
      <c r="AF144" s="2">
        <v>1</v>
      </c>
      <c r="AG144" s="2">
        <v>0</v>
      </c>
      <c r="AH144" s="2">
        <v>0</v>
      </c>
      <c r="AI144" s="2">
        <v>1</v>
      </c>
      <c r="AJ144" s="2">
        <v>1</v>
      </c>
      <c r="AK144" s="2">
        <v>0</v>
      </c>
      <c r="AL144" s="2">
        <v>0</v>
      </c>
      <c r="AM144">
        <f>IF(AA144+AD144+AE144+AF144+AH144+AK144+AL144=0,1,0)</f>
        <v>0</v>
      </c>
      <c r="AN144" s="2" t="s">
        <v>136</v>
      </c>
    </row>
    <row r="145" spans="1:40" x14ac:dyDescent="0.35">
      <c r="A145" s="7">
        <v>221</v>
      </c>
      <c r="B145" t="s">
        <v>165</v>
      </c>
      <c r="C145">
        <v>1.47</v>
      </c>
      <c r="D145" s="2">
        <v>9</v>
      </c>
      <c r="E145" t="s">
        <v>162</v>
      </c>
      <c r="F145" t="s">
        <v>53</v>
      </c>
      <c r="G145" t="s">
        <v>166</v>
      </c>
      <c r="H145">
        <v>0</v>
      </c>
      <c r="I145" s="13">
        <v>0.25</v>
      </c>
      <c r="J145">
        <v>2</v>
      </c>
      <c r="K145" s="2">
        <v>4</v>
      </c>
      <c r="L145" s="7">
        <v>4</v>
      </c>
      <c r="M145" s="2">
        <f t="shared" si="24"/>
        <v>0</v>
      </c>
      <c r="N145" s="9">
        <v>2</v>
      </c>
      <c r="O145" s="9">
        <v>2</v>
      </c>
      <c r="P145">
        <f t="shared" si="25"/>
        <v>0</v>
      </c>
      <c r="Q145" s="9">
        <v>2</v>
      </c>
      <c r="R145" s="9">
        <v>2</v>
      </c>
      <c r="S145">
        <f t="shared" si="26"/>
        <v>0</v>
      </c>
      <c r="T145">
        <v>1</v>
      </c>
      <c r="U145">
        <v>1</v>
      </c>
      <c r="V145">
        <f t="shared" si="27"/>
        <v>0</v>
      </c>
      <c r="AA145" s="2">
        <v>0</v>
      </c>
      <c r="AB145" s="2">
        <v>1</v>
      </c>
      <c r="AC145" s="2">
        <v>1</v>
      </c>
      <c r="AD145" s="2">
        <f>IF(AB145+AC145&gt;0,1,0)</f>
        <v>1</v>
      </c>
      <c r="AE145" s="2">
        <v>0</v>
      </c>
      <c r="AF145" s="2">
        <v>1</v>
      </c>
      <c r="AG145" s="2">
        <v>0</v>
      </c>
      <c r="AH145" s="2">
        <v>0</v>
      </c>
      <c r="AI145" s="2">
        <v>0</v>
      </c>
      <c r="AJ145" s="2">
        <v>0</v>
      </c>
      <c r="AK145" s="2">
        <v>0</v>
      </c>
      <c r="AL145" s="2">
        <v>0</v>
      </c>
      <c r="AM145">
        <f>IF(AA145+AD145+AE145+AF145+AH145+AK145+AL145=0,1,0)</f>
        <v>0</v>
      </c>
      <c r="AN145" s="2" t="s">
        <v>6</v>
      </c>
    </row>
    <row r="146" spans="1:40" x14ac:dyDescent="0.35">
      <c r="A146" s="7">
        <v>222</v>
      </c>
      <c r="B146" t="s">
        <v>163</v>
      </c>
      <c r="C146" s="7">
        <v>-0.37</v>
      </c>
      <c r="D146" s="2">
        <v>40</v>
      </c>
      <c r="E146" t="s">
        <v>141</v>
      </c>
      <c r="F146" t="s">
        <v>53</v>
      </c>
      <c r="G146" t="s">
        <v>166</v>
      </c>
      <c r="H146">
        <v>1</v>
      </c>
      <c r="I146" s="13">
        <v>0.5</v>
      </c>
      <c r="J146">
        <v>1</v>
      </c>
      <c r="K146" s="2">
        <v>4</v>
      </c>
      <c r="L146" s="7">
        <v>4</v>
      </c>
      <c r="M146" s="2">
        <f t="shared" si="24"/>
        <v>0</v>
      </c>
      <c r="N146" s="9">
        <v>9</v>
      </c>
      <c r="O146" s="9">
        <v>7</v>
      </c>
      <c r="P146">
        <f t="shared" si="25"/>
        <v>-2</v>
      </c>
      <c r="Q146" s="9">
        <v>2</v>
      </c>
      <c r="R146" s="9">
        <v>2</v>
      </c>
      <c r="S146">
        <f t="shared" si="26"/>
        <v>0</v>
      </c>
      <c r="T146">
        <v>1</v>
      </c>
      <c r="U146">
        <v>3</v>
      </c>
      <c r="V146">
        <f t="shared" si="27"/>
        <v>2</v>
      </c>
      <c r="W146">
        <v>1</v>
      </c>
      <c r="X146">
        <v>1</v>
      </c>
      <c r="Y146">
        <f t="shared" si="28"/>
        <v>0</v>
      </c>
      <c r="Z146">
        <f t="shared" si="23"/>
        <v>0</v>
      </c>
      <c r="AA146" s="2">
        <v>0</v>
      </c>
      <c r="AB146" s="2">
        <v>1</v>
      </c>
      <c r="AC146" s="2">
        <v>0</v>
      </c>
      <c r="AD146" s="2">
        <f>IF(AB146+AC146&gt;0,1,0)</f>
        <v>1</v>
      </c>
      <c r="AE146" s="2">
        <v>0</v>
      </c>
      <c r="AF146" s="2">
        <v>0</v>
      </c>
      <c r="AG146" s="2">
        <v>0</v>
      </c>
      <c r="AH146" s="2">
        <v>1</v>
      </c>
      <c r="AI146" s="2">
        <v>0</v>
      </c>
      <c r="AJ146" s="2">
        <v>0</v>
      </c>
      <c r="AK146" s="2">
        <v>0</v>
      </c>
      <c r="AL146" s="2">
        <v>0</v>
      </c>
      <c r="AM146" s="2">
        <f>IF(AA146+AD146+AE146+AF146+AH146+AK146+AL146=0,1,0)</f>
        <v>0</v>
      </c>
      <c r="AN146" s="2" t="s">
        <v>136</v>
      </c>
    </row>
    <row r="147" spans="1:40" x14ac:dyDescent="0.35">
      <c r="A147" s="7">
        <v>227</v>
      </c>
      <c r="B147" t="s">
        <v>163</v>
      </c>
      <c r="C147" s="7">
        <v>-0.37</v>
      </c>
      <c r="D147" s="5">
        <v>78</v>
      </c>
      <c r="E147" t="s">
        <v>141</v>
      </c>
      <c r="F147" t="s">
        <v>59</v>
      </c>
      <c r="G147" t="s">
        <v>166</v>
      </c>
      <c r="H147">
        <v>1</v>
      </c>
      <c r="I147" s="13">
        <v>0.75</v>
      </c>
      <c r="J147">
        <v>1</v>
      </c>
      <c r="K147" s="2">
        <v>4</v>
      </c>
      <c r="L147" s="7">
        <v>3</v>
      </c>
      <c r="M147" s="2">
        <f t="shared" si="24"/>
        <v>-1</v>
      </c>
      <c r="N147" s="9">
        <v>10</v>
      </c>
      <c r="O147" s="9">
        <v>4</v>
      </c>
      <c r="P147">
        <f t="shared" si="25"/>
        <v>-6</v>
      </c>
      <c r="Q147" s="9">
        <v>3</v>
      </c>
      <c r="R147" s="9">
        <v>3</v>
      </c>
      <c r="S147">
        <f t="shared" si="26"/>
        <v>0</v>
      </c>
      <c r="T147">
        <v>1</v>
      </c>
      <c r="U147">
        <v>2</v>
      </c>
      <c r="V147">
        <f t="shared" si="27"/>
        <v>1</v>
      </c>
      <c r="W147">
        <v>2</v>
      </c>
      <c r="X147">
        <v>2</v>
      </c>
      <c r="Y147">
        <f t="shared" si="28"/>
        <v>0</v>
      </c>
      <c r="Z147">
        <f t="shared" si="23"/>
        <v>0</v>
      </c>
      <c r="AA147" s="2">
        <v>0</v>
      </c>
      <c r="AB147" s="2">
        <v>1</v>
      </c>
      <c r="AC147" s="2">
        <v>1</v>
      </c>
      <c r="AD147" s="2">
        <f t="shared" ref="AD147:AD150" si="31">IF(AB147+AC147&gt;0,1,0)</f>
        <v>1</v>
      </c>
      <c r="AE147" s="2">
        <v>1</v>
      </c>
      <c r="AF147" s="2">
        <v>0</v>
      </c>
      <c r="AG147" s="2">
        <v>0</v>
      </c>
      <c r="AH147" s="2">
        <v>0</v>
      </c>
      <c r="AI147" s="2">
        <v>0</v>
      </c>
      <c r="AJ147" s="2">
        <v>0</v>
      </c>
      <c r="AK147" s="2">
        <v>0</v>
      </c>
      <c r="AL147" s="2">
        <v>0</v>
      </c>
      <c r="AM147" s="2">
        <f t="shared" ref="AM147:AM150" si="32">IF(AA147+AD147+AE147+AF147+AH147+AK147+AL147=0,1,0)</f>
        <v>0</v>
      </c>
      <c r="AN147" s="2" t="s">
        <v>136</v>
      </c>
    </row>
    <row r="148" spans="1:40" x14ac:dyDescent="0.35">
      <c r="A148" s="7">
        <v>228</v>
      </c>
      <c r="B148" t="s">
        <v>163</v>
      </c>
      <c r="C148" s="7">
        <v>-0.37</v>
      </c>
      <c r="D148" s="2">
        <v>98</v>
      </c>
      <c r="E148" t="s">
        <v>141</v>
      </c>
      <c r="F148" t="s">
        <v>56</v>
      </c>
      <c r="G148" t="s">
        <v>166</v>
      </c>
      <c r="H148">
        <v>1</v>
      </c>
      <c r="I148" s="13">
        <v>0.75</v>
      </c>
      <c r="J148">
        <v>1</v>
      </c>
      <c r="K148" s="2">
        <v>6</v>
      </c>
      <c r="L148" s="7">
        <v>5</v>
      </c>
      <c r="M148" s="2">
        <f t="shared" si="24"/>
        <v>-1</v>
      </c>
      <c r="N148" s="9">
        <v>7</v>
      </c>
      <c r="O148" s="9">
        <v>4</v>
      </c>
      <c r="P148">
        <f t="shared" si="25"/>
        <v>-3</v>
      </c>
      <c r="Q148" s="9">
        <v>1</v>
      </c>
      <c r="R148" s="9">
        <v>1</v>
      </c>
      <c r="S148">
        <f t="shared" si="26"/>
        <v>0</v>
      </c>
      <c r="T148">
        <v>2</v>
      </c>
      <c r="U148">
        <v>3</v>
      </c>
      <c r="V148">
        <f t="shared" si="27"/>
        <v>1</v>
      </c>
      <c r="W148">
        <v>1</v>
      </c>
      <c r="X148">
        <v>1</v>
      </c>
      <c r="Y148">
        <f t="shared" si="28"/>
        <v>0</v>
      </c>
      <c r="Z148">
        <f t="shared" si="23"/>
        <v>0</v>
      </c>
      <c r="AA148" s="2">
        <v>0</v>
      </c>
      <c r="AB148" s="2">
        <v>0</v>
      </c>
      <c r="AC148" s="2">
        <v>0</v>
      </c>
      <c r="AD148" s="2">
        <f t="shared" si="31"/>
        <v>0</v>
      </c>
      <c r="AE148" s="2">
        <v>0</v>
      </c>
      <c r="AF148" s="2">
        <v>1</v>
      </c>
      <c r="AG148" s="2">
        <v>0</v>
      </c>
      <c r="AH148" s="2">
        <v>1</v>
      </c>
      <c r="AI148" s="2">
        <v>0</v>
      </c>
      <c r="AJ148" s="2">
        <v>0</v>
      </c>
      <c r="AK148" s="2">
        <v>1</v>
      </c>
      <c r="AL148" s="2">
        <v>0</v>
      </c>
      <c r="AM148" s="2">
        <f t="shared" si="32"/>
        <v>0</v>
      </c>
      <c r="AN148" s="2" t="s">
        <v>6</v>
      </c>
    </row>
    <row r="149" spans="1:40" x14ac:dyDescent="0.35">
      <c r="A149" s="7">
        <v>229</v>
      </c>
      <c r="B149" t="s">
        <v>163</v>
      </c>
      <c r="C149" s="7">
        <v>-0.37</v>
      </c>
      <c r="D149" s="2">
        <v>130</v>
      </c>
      <c r="E149" t="s">
        <v>141</v>
      </c>
      <c r="F149" t="s">
        <v>59</v>
      </c>
      <c r="G149" t="s">
        <v>167</v>
      </c>
      <c r="H149">
        <v>1</v>
      </c>
      <c r="I149" s="13">
        <v>0.75</v>
      </c>
      <c r="J149">
        <v>1</v>
      </c>
      <c r="K149" s="2">
        <v>2</v>
      </c>
      <c r="L149" s="7">
        <v>2</v>
      </c>
      <c r="M149" s="2">
        <f t="shared" si="24"/>
        <v>0</v>
      </c>
      <c r="N149" s="9">
        <v>7</v>
      </c>
      <c r="O149" s="9">
        <v>5</v>
      </c>
      <c r="P149">
        <f t="shared" si="25"/>
        <v>-2</v>
      </c>
      <c r="Q149" s="9">
        <v>1</v>
      </c>
      <c r="R149" s="9">
        <v>1</v>
      </c>
      <c r="S149">
        <f t="shared" si="26"/>
        <v>0</v>
      </c>
      <c r="T149">
        <v>4</v>
      </c>
      <c r="U149">
        <v>3</v>
      </c>
      <c r="V149">
        <f t="shared" si="27"/>
        <v>-1</v>
      </c>
      <c r="W149">
        <v>2</v>
      </c>
      <c r="X149">
        <v>2</v>
      </c>
      <c r="Y149">
        <f t="shared" si="28"/>
        <v>0</v>
      </c>
      <c r="Z149">
        <f t="shared" si="23"/>
        <v>0</v>
      </c>
      <c r="AA149" s="2">
        <v>0</v>
      </c>
      <c r="AB149" s="2">
        <v>1</v>
      </c>
      <c r="AC149" s="2">
        <v>0</v>
      </c>
      <c r="AD149" s="2">
        <f t="shared" si="31"/>
        <v>1</v>
      </c>
      <c r="AE149" s="2">
        <v>0</v>
      </c>
      <c r="AF149" s="2">
        <v>1</v>
      </c>
      <c r="AG149" s="2">
        <v>0</v>
      </c>
      <c r="AH149" s="2">
        <v>1</v>
      </c>
      <c r="AI149" s="2">
        <v>0</v>
      </c>
      <c r="AJ149" s="2">
        <v>0</v>
      </c>
      <c r="AK149" s="2">
        <v>1</v>
      </c>
      <c r="AL149" s="2">
        <v>0</v>
      </c>
      <c r="AM149" s="2">
        <f t="shared" si="32"/>
        <v>0</v>
      </c>
      <c r="AN149" s="2" t="s">
        <v>6</v>
      </c>
    </row>
    <row r="150" spans="1:40" x14ac:dyDescent="0.35">
      <c r="A150" s="7">
        <v>230</v>
      </c>
      <c r="B150" t="s">
        <v>163</v>
      </c>
      <c r="C150" s="7">
        <v>-0.37</v>
      </c>
      <c r="D150" s="2">
        <v>21</v>
      </c>
      <c r="E150" t="s">
        <v>52</v>
      </c>
      <c r="F150" t="s">
        <v>56</v>
      </c>
      <c r="G150" t="s">
        <v>166</v>
      </c>
      <c r="H150">
        <v>1</v>
      </c>
      <c r="I150" s="13">
        <v>0.5</v>
      </c>
      <c r="J150">
        <v>1</v>
      </c>
      <c r="K150" s="2">
        <v>3</v>
      </c>
      <c r="L150" s="7">
        <v>3</v>
      </c>
      <c r="M150" s="2">
        <f t="shared" si="24"/>
        <v>0</v>
      </c>
      <c r="N150" s="9">
        <v>3</v>
      </c>
      <c r="O150" s="9">
        <v>3</v>
      </c>
      <c r="P150">
        <f t="shared" si="25"/>
        <v>0</v>
      </c>
      <c r="Q150" s="9">
        <v>1</v>
      </c>
      <c r="R150" s="9">
        <v>1</v>
      </c>
      <c r="S150">
        <f t="shared" si="26"/>
        <v>0</v>
      </c>
      <c r="T150">
        <v>5</v>
      </c>
      <c r="U150">
        <v>5</v>
      </c>
      <c r="V150">
        <f t="shared" si="27"/>
        <v>0</v>
      </c>
      <c r="W150">
        <v>2</v>
      </c>
      <c r="X150">
        <v>2</v>
      </c>
      <c r="Y150">
        <f t="shared" si="28"/>
        <v>0</v>
      </c>
      <c r="Z150">
        <f t="shared" si="23"/>
        <v>0</v>
      </c>
      <c r="AA150" s="2">
        <v>0</v>
      </c>
      <c r="AB150" s="2">
        <v>0</v>
      </c>
      <c r="AC150" s="2">
        <v>0</v>
      </c>
      <c r="AD150" s="2">
        <f t="shared" si="31"/>
        <v>0</v>
      </c>
      <c r="AE150" s="2">
        <v>0</v>
      </c>
      <c r="AF150" s="2">
        <v>0</v>
      </c>
      <c r="AG150" s="2">
        <v>0</v>
      </c>
      <c r="AH150" s="2">
        <v>0</v>
      </c>
      <c r="AI150" s="2">
        <v>0</v>
      </c>
      <c r="AJ150" s="2">
        <v>0</v>
      </c>
      <c r="AK150" s="2">
        <v>0</v>
      </c>
      <c r="AL150" s="2">
        <v>0</v>
      </c>
      <c r="AM150" s="2">
        <f t="shared" si="32"/>
        <v>1</v>
      </c>
      <c r="AN150" s="2" t="s">
        <v>140</v>
      </c>
    </row>
    <row r="151" spans="1:40" x14ac:dyDescent="0.35">
      <c r="AM151" s="2"/>
    </row>
    <row r="152" spans="1:40" x14ac:dyDescent="0.35">
      <c r="AM152" s="2"/>
    </row>
    <row r="153" spans="1:40" x14ac:dyDescent="0.35">
      <c r="Q153" s="2"/>
      <c r="R153" s="13"/>
      <c r="S153" s="13"/>
    </row>
    <row r="154" spans="1:40" x14ac:dyDescent="0.35">
      <c r="Q154" s="2"/>
      <c r="R154" s="13"/>
      <c r="S154" s="13"/>
    </row>
    <row r="155" spans="1:40" x14ac:dyDescent="0.35">
      <c r="O155" s="1"/>
      <c r="P155" s="1"/>
      <c r="Q155" s="2"/>
      <c r="R155" s="13"/>
      <c r="S155" s="13"/>
    </row>
    <row r="156" spans="1:40" x14ac:dyDescent="0.35">
      <c r="O156" s="1"/>
      <c r="P156" s="1"/>
      <c r="Q156" s="2"/>
      <c r="R156" s="13"/>
      <c r="S156" s="13"/>
    </row>
    <row r="157" spans="1:40" x14ac:dyDescent="0.35">
      <c r="O157" s="1"/>
      <c r="P157" s="1"/>
      <c r="Q157" s="2"/>
      <c r="R157" s="13"/>
      <c r="S157" s="13"/>
    </row>
    <row r="158" spans="1:40" x14ac:dyDescent="0.35">
      <c r="O158" s="1"/>
      <c r="P158" s="1"/>
      <c r="Q158" s="2"/>
      <c r="R158" s="13"/>
      <c r="S158" s="13"/>
    </row>
    <row r="159" spans="1:40" x14ac:dyDescent="0.35">
      <c r="Q159" s="2"/>
      <c r="R159" s="13"/>
      <c r="S159" s="13"/>
    </row>
    <row r="160" spans="1:40" x14ac:dyDescent="0.35">
      <c r="Q160" s="1"/>
    </row>
    <row r="161" spans="17:17" x14ac:dyDescent="0.35">
      <c r="Q161" s="1"/>
    </row>
  </sheetData>
  <pageMargins left="0.7" right="0.7" top="0.75" bottom="0.75" header="0.3" footer="0.3"/>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38"/>
  <sheetViews>
    <sheetView topLeftCell="X1" workbookViewId="0">
      <pane ySplit="1" topLeftCell="A113" activePane="bottomLeft" state="frozen"/>
      <selection pane="bottomLeft" activeCell="AD125" sqref="AD125:AD126"/>
    </sheetView>
  </sheetViews>
  <sheetFormatPr defaultRowHeight="14.5" x14ac:dyDescent="0.35"/>
  <cols>
    <col min="1" max="1" width="10.7265625" bestFit="1" customWidth="1"/>
    <col min="2" max="2" width="8.1796875" bestFit="1" customWidth="1"/>
    <col min="3" max="3" width="10.453125" bestFit="1" customWidth="1"/>
    <col min="4" max="5" width="11.54296875" bestFit="1" customWidth="1"/>
    <col min="6" max="6" width="9" bestFit="1" customWidth="1"/>
    <col min="7" max="7" width="12.1796875" bestFit="1" customWidth="1"/>
    <col min="8" max="8" width="9.26953125" bestFit="1" customWidth="1"/>
    <col min="9" max="9" width="12.453125" style="13" bestFit="1" customWidth="1"/>
    <col min="10" max="10" width="16.1796875" bestFit="1" customWidth="1"/>
    <col min="11" max="11" width="11.453125" style="2" bestFit="1" customWidth="1"/>
    <col min="12" max="12" width="12.26953125" bestFit="1" customWidth="1"/>
    <col min="13" max="13" width="12.26953125" customWidth="1"/>
    <col min="14" max="14" width="9.26953125" bestFit="1" customWidth="1"/>
    <col min="15" max="15" width="10.1796875" bestFit="1" customWidth="1"/>
    <col min="16" max="16" width="10.1796875" customWidth="1"/>
    <col min="17" max="17" width="17.26953125" bestFit="1" customWidth="1"/>
    <col min="18" max="18" width="18.1796875" bestFit="1" customWidth="1"/>
    <col min="19" max="19" width="18.1796875" customWidth="1"/>
    <col min="20" max="20" width="8.1796875" bestFit="1" customWidth="1"/>
    <col min="21" max="21" width="9" bestFit="1" customWidth="1"/>
    <col min="22" max="22" width="9" customWidth="1"/>
    <col min="23" max="23" width="16.453125" customWidth="1"/>
    <col min="24" max="25" width="17.453125" customWidth="1"/>
    <col min="26" max="26" width="14.54296875" style="2" customWidth="1"/>
    <col min="27" max="27" width="7.7265625" style="2" bestFit="1" customWidth="1"/>
    <col min="28" max="28" width="6.453125" style="2" bestFit="1" customWidth="1"/>
    <col min="29" max="29" width="5.26953125" style="2" bestFit="1" customWidth="1"/>
    <col min="30" max="30" width="10.81640625" style="2" bestFit="1" customWidth="1"/>
    <col min="31" max="31" width="10.453125" style="2" bestFit="1" customWidth="1"/>
    <col min="32" max="32" width="9" style="2" bestFit="1" customWidth="1"/>
    <col min="33" max="33" width="7.7265625" style="2" bestFit="1" customWidth="1"/>
    <col min="34" max="34" width="5.81640625" style="2" bestFit="1" customWidth="1"/>
    <col min="35" max="35" width="7.54296875" style="2" bestFit="1" customWidth="1"/>
    <col min="36" max="36" width="4.54296875" style="2" bestFit="1" customWidth="1"/>
    <col min="37" max="37" width="7.7265625" style="2" bestFit="1" customWidth="1"/>
    <col min="38" max="38" width="5.08984375" bestFit="1" customWidth="1"/>
    <col min="39" max="39" width="12.1796875" bestFit="1" customWidth="1"/>
    <col min="40" max="40" width="15.1796875" bestFit="1" customWidth="1"/>
  </cols>
  <sheetData>
    <row r="1" spans="1:40" x14ac:dyDescent="0.35">
      <c r="A1" s="3" t="s">
        <v>171</v>
      </c>
      <c r="B1" s="3" t="s">
        <v>0</v>
      </c>
      <c r="C1" s="14" t="s">
        <v>170</v>
      </c>
      <c r="D1" s="14" t="s">
        <v>172</v>
      </c>
      <c r="E1" s="3" t="s">
        <v>161</v>
      </c>
      <c r="F1" s="3" t="s">
        <v>49</v>
      </c>
      <c r="G1" s="3" t="s">
        <v>129</v>
      </c>
      <c r="H1" s="3" t="s">
        <v>131</v>
      </c>
      <c r="I1" s="15" t="s">
        <v>132</v>
      </c>
      <c r="J1" s="3" t="s">
        <v>2</v>
      </c>
      <c r="K1" s="4" t="s">
        <v>143</v>
      </c>
      <c r="L1" s="3" t="s">
        <v>144</v>
      </c>
      <c r="M1" s="3" t="s">
        <v>145</v>
      </c>
      <c r="N1" s="3" t="s">
        <v>147</v>
      </c>
      <c r="O1" s="3" t="s">
        <v>148</v>
      </c>
      <c r="P1" s="3" t="s">
        <v>149</v>
      </c>
      <c r="Q1" s="3" t="s">
        <v>151</v>
      </c>
      <c r="R1" s="3" t="s">
        <v>152</v>
      </c>
      <c r="S1" s="3" t="s">
        <v>153</v>
      </c>
      <c r="T1" s="3" t="s">
        <v>154</v>
      </c>
      <c r="U1" s="3" t="s">
        <v>155</v>
      </c>
      <c r="V1" s="3" t="s">
        <v>156</v>
      </c>
      <c r="W1" s="3" t="s">
        <v>157</v>
      </c>
      <c r="X1" s="3" t="s">
        <v>158</v>
      </c>
      <c r="Y1" s="3" t="s">
        <v>159</v>
      </c>
      <c r="Z1" s="4" t="s">
        <v>4</v>
      </c>
      <c r="AA1" s="4" t="s">
        <v>136</v>
      </c>
      <c r="AB1" s="4" t="s">
        <v>137</v>
      </c>
      <c r="AC1" s="4" t="s">
        <v>5</v>
      </c>
      <c r="AD1" s="4" t="s">
        <v>138</v>
      </c>
      <c r="AE1" s="4" t="s">
        <v>6</v>
      </c>
      <c r="AF1" s="4" t="s">
        <v>38</v>
      </c>
      <c r="AG1" s="4" t="s">
        <v>39</v>
      </c>
      <c r="AH1" s="4" t="s">
        <v>8</v>
      </c>
      <c r="AI1" s="4" t="s">
        <v>47</v>
      </c>
      <c r="AJ1" s="4" t="s">
        <v>9</v>
      </c>
      <c r="AK1" s="4" t="s">
        <v>43</v>
      </c>
      <c r="AL1" s="3" t="s">
        <v>140</v>
      </c>
      <c r="AM1" s="3" t="s">
        <v>139</v>
      </c>
      <c r="AN1" s="4" t="s">
        <v>268</v>
      </c>
    </row>
    <row r="2" spans="1:40" x14ac:dyDescent="0.35">
      <c r="A2">
        <v>5</v>
      </c>
      <c r="B2" t="s">
        <v>164</v>
      </c>
      <c r="C2">
        <v>0.44</v>
      </c>
      <c r="D2" s="2">
        <v>17</v>
      </c>
      <c r="E2" t="s">
        <v>162</v>
      </c>
      <c r="F2" t="s">
        <v>56</v>
      </c>
      <c r="G2" t="s">
        <v>166</v>
      </c>
      <c r="H2">
        <v>0</v>
      </c>
      <c r="I2" s="13">
        <v>0.5</v>
      </c>
      <c r="J2">
        <v>2</v>
      </c>
      <c r="K2" s="2">
        <v>2</v>
      </c>
      <c r="L2">
        <v>3</v>
      </c>
      <c r="M2" s="2">
        <f t="shared" ref="M2:M57" si="0">L2-K2</f>
        <v>1</v>
      </c>
      <c r="N2">
        <v>7</v>
      </c>
      <c r="O2">
        <v>5</v>
      </c>
      <c r="P2">
        <f t="shared" ref="P2:P57" si="1">O2-N2</f>
        <v>-2</v>
      </c>
      <c r="Q2">
        <v>1</v>
      </c>
      <c r="R2">
        <v>1</v>
      </c>
      <c r="S2">
        <f t="shared" ref="S2:S57" si="2">R2-Q2</f>
        <v>0</v>
      </c>
      <c r="T2">
        <v>4</v>
      </c>
      <c r="U2">
        <v>4</v>
      </c>
      <c r="V2">
        <f t="shared" ref="V2:V57" si="3">U2-T2</f>
        <v>0</v>
      </c>
      <c r="W2">
        <v>2</v>
      </c>
      <c r="X2">
        <v>2</v>
      </c>
      <c r="Y2">
        <f t="shared" ref="Y2:Y57" si="4">X2-W2</f>
        <v>0</v>
      </c>
      <c r="Z2" s="2">
        <v>0</v>
      </c>
      <c r="AA2" s="2">
        <v>1</v>
      </c>
      <c r="AB2" s="2">
        <v>0</v>
      </c>
      <c r="AC2">
        <f t="shared" ref="AC2:AC57" si="5">IF(AA2+AB2&gt;0,1,0)</f>
        <v>1</v>
      </c>
      <c r="AD2" s="2">
        <v>0</v>
      </c>
      <c r="AE2" s="2">
        <v>1</v>
      </c>
      <c r="AF2" s="2">
        <v>0</v>
      </c>
      <c r="AG2" s="2">
        <v>1</v>
      </c>
      <c r="AH2" s="2">
        <v>0</v>
      </c>
      <c r="AI2" s="2">
        <v>1</v>
      </c>
      <c r="AJ2" s="2">
        <v>0</v>
      </c>
      <c r="AK2" s="2">
        <v>0</v>
      </c>
      <c r="AL2">
        <f t="shared" ref="AL2:AL57" si="6">IF(Z2+AC2+AD2+AE2+AG2+AJ2+AK2=0,1,0)</f>
        <v>0</v>
      </c>
      <c r="AM2" t="s">
        <v>6</v>
      </c>
      <c r="AN2" t="s">
        <v>269</v>
      </c>
    </row>
    <row r="3" spans="1:40" x14ac:dyDescent="0.35">
      <c r="A3">
        <v>6</v>
      </c>
      <c r="B3" t="s">
        <v>18</v>
      </c>
      <c r="C3">
        <v>-0.04</v>
      </c>
      <c r="D3" s="2">
        <v>135</v>
      </c>
      <c r="E3" t="s">
        <v>162</v>
      </c>
      <c r="F3" t="s">
        <v>53</v>
      </c>
      <c r="G3" t="s">
        <v>166</v>
      </c>
      <c r="H3">
        <v>0</v>
      </c>
      <c r="I3" s="13">
        <v>0.25</v>
      </c>
      <c r="J3">
        <v>1</v>
      </c>
      <c r="K3" s="2">
        <v>3</v>
      </c>
      <c r="L3">
        <v>3</v>
      </c>
      <c r="M3" s="2">
        <f t="shared" si="0"/>
        <v>0</v>
      </c>
      <c r="N3">
        <v>5</v>
      </c>
      <c r="O3">
        <v>5</v>
      </c>
      <c r="P3">
        <f t="shared" si="1"/>
        <v>0</v>
      </c>
      <c r="Q3">
        <v>1</v>
      </c>
      <c r="R3">
        <v>2</v>
      </c>
      <c r="S3">
        <f t="shared" si="2"/>
        <v>1</v>
      </c>
      <c r="T3">
        <v>4</v>
      </c>
      <c r="U3">
        <v>4</v>
      </c>
      <c r="V3">
        <f t="shared" si="3"/>
        <v>0</v>
      </c>
      <c r="W3">
        <v>1</v>
      </c>
      <c r="X3">
        <v>1</v>
      </c>
      <c r="Y3">
        <f t="shared" si="4"/>
        <v>0</v>
      </c>
      <c r="Z3" s="2">
        <v>0</v>
      </c>
      <c r="AA3" s="2">
        <v>1</v>
      </c>
      <c r="AB3" s="2">
        <v>0</v>
      </c>
      <c r="AC3">
        <f t="shared" si="5"/>
        <v>1</v>
      </c>
      <c r="AD3" s="2">
        <v>0</v>
      </c>
      <c r="AE3" s="2">
        <v>0</v>
      </c>
      <c r="AF3" s="2">
        <v>0</v>
      </c>
      <c r="AG3" s="2">
        <v>1</v>
      </c>
      <c r="AH3" s="2">
        <v>0</v>
      </c>
      <c r="AI3" s="2">
        <v>0</v>
      </c>
      <c r="AJ3" s="2">
        <v>0</v>
      </c>
      <c r="AK3" s="2">
        <v>0</v>
      </c>
      <c r="AL3">
        <f t="shared" si="6"/>
        <v>0</v>
      </c>
      <c r="AM3" t="s">
        <v>136</v>
      </c>
      <c r="AN3" t="s">
        <v>270</v>
      </c>
    </row>
    <row r="4" spans="1:40" x14ac:dyDescent="0.35">
      <c r="A4">
        <v>11</v>
      </c>
      <c r="B4" t="s">
        <v>165</v>
      </c>
      <c r="C4">
        <v>1.47</v>
      </c>
      <c r="D4">
        <v>7</v>
      </c>
      <c r="E4" t="s">
        <v>162</v>
      </c>
      <c r="F4" t="s">
        <v>56</v>
      </c>
      <c r="G4" t="s">
        <v>166</v>
      </c>
      <c r="H4">
        <v>0</v>
      </c>
      <c r="I4" s="13">
        <v>1</v>
      </c>
      <c r="J4">
        <v>2</v>
      </c>
      <c r="K4" s="2">
        <v>2</v>
      </c>
      <c r="L4">
        <v>1</v>
      </c>
      <c r="M4" s="2">
        <f t="shared" si="0"/>
        <v>-1</v>
      </c>
      <c r="N4">
        <v>9</v>
      </c>
      <c r="O4">
        <v>4</v>
      </c>
      <c r="P4">
        <f t="shared" si="1"/>
        <v>-5</v>
      </c>
      <c r="Q4">
        <v>3</v>
      </c>
      <c r="R4">
        <v>3</v>
      </c>
      <c r="S4">
        <f t="shared" si="2"/>
        <v>0</v>
      </c>
      <c r="T4">
        <v>1</v>
      </c>
      <c r="U4">
        <v>2</v>
      </c>
      <c r="V4">
        <f t="shared" si="3"/>
        <v>1</v>
      </c>
      <c r="W4">
        <v>1</v>
      </c>
      <c r="X4">
        <v>1</v>
      </c>
      <c r="Y4">
        <f t="shared" si="4"/>
        <v>0</v>
      </c>
      <c r="Z4" s="5">
        <v>1</v>
      </c>
      <c r="AA4" s="5">
        <v>0</v>
      </c>
      <c r="AB4" s="5">
        <v>0</v>
      </c>
      <c r="AC4">
        <f t="shared" si="5"/>
        <v>0</v>
      </c>
      <c r="AD4" s="2">
        <v>0</v>
      </c>
      <c r="AE4" s="2">
        <v>0</v>
      </c>
      <c r="AF4" s="2">
        <v>0</v>
      </c>
      <c r="AG4" s="2">
        <v>1</v>
      </c>
      <c r="AH4" s="2">
        <v>0</v>
      </c>
      <c r="AI4" s="2">
        <v>0</v>
      </c>
      <c r="AJ4" s="2">
        <v>0</v>
      </c>
      <c r="AK4" s="2">
        <v>0</v>
      </c>
      <c r="AL4">
        <f t="shared" si="6"/>
        <v>0</v>
      </c>
      <c r="AM4" t="s">
        <v>4</v>
      </c>
      <c r="AN4" t="s">
        <v>270</v>
      </c>
    </row>
    <row r="5" spans="1:40" x14ac:dyDescent="0.35">
      <c r="A5">
        <v>12</v>
      </c>
      <c r="B5" t="s">
        <v>165</v>
      </c>
      <c r="C5">
        <v>1.47</v>
      </c>
      <c r="D5">
        <v>46</v>
      </c>
      <c r="E5" t="s">
        <v>162</v>
      </c>
      <c r="F5" t="s">
        <v>59</v>
      </c>
      <c r="G5" t="s">
        <v>166</v>
      </c>
      <c r="H5">
        <v>0</v>
      </c>
      <c r="I5" s="13">
        <v>0.5</v>
      </c>
      <c r="J5">
        <v>2</v>
      </c>
      <c r="K5" s="2">
        <v>4</v>
      </c>
      <c r="L5">
        <v>4</v>
      </c>
      <c r="M5" s="2">
        <f t="shared" si="0"/>
        <v>0</v>
      </c>
      <c r="N5">
        <v>7</v>
      </c>
      <c r="O5">
        <v>7</v>
      </c>
      <c r="P5">
        <f t="shared" si="1"/>
        <v>0</v>
      </c>
      <c r="Q5">
        <v>3</v>
      </c>
      <c r="R5">
        <v>3</v>
      </c>
      <c r="S5">
        <f t="shared" si="2"/>
        <v>0</v>
      </c>
      <c r="T5">
        <v>2</v>
      </c>
      <c r="U5">
        <v>2</v>
      </c>
      <c r="V5">
        <f t="shared" si="3"/>
        <v>0</v>
      </c>
      <c r="W5">
        <v>2</v>
      </c>
      <c r="X5">
        <v>0</v>
      </c>
      <c r="Y5">
        <f t="shared" si="4"/>
        <v>-2</v>
      </c>
      <c r="Z5" s="2">
        <v>0</v>
      </c>
      <c r="AA5" s="2">
        <v>1</v>
      </c>
      <c r="AB5" s="2">
        <v>0</v>
      </c>
      <c r="AC5">
        <f t="shared" si="5"/>
        <v>1</v>
      </c>
      <c r="AD5" s="2">
        <v>0</v>
      </c>
      <c r="AE5" s="2">
        <v>0</v>
      </c>
      <c r="AF5" s="2">
        <v>0</v>
      </c>
      <c r="AG5" s="2">
        <v>0</v>
      </c>
      <c r="AH5" s="2">
        <v>0</v>
      </c>
      <c r="AI5" s="2">
        <v>0</v>
      </c>
      <c r="AJ5" s="2">
        <v>0</v>
      </c>
      <c r="AK5" s="2">
        <v>0</v>
      </c>
      <c r="AL5">
        <f t="shared" si="6"/>
        <v>0</v>
      </c>
      <c r="AM5" t="s">
        <v>136</v>
      </c>
      <c r="AN5" t="s">
        <v>270</v>
      </c>
    </row>
    <row r="6" spans="1:40" x14ac:dyDescent="0.35">
      <c r="A6">
        <v>13</v>
      </c>
      <c r="B6" t="s">
        <v>14</v>
      </c>
      <c r="C6">
        <v>1.42</v>
      </c>
      <c r="D6" s="2">
        <v>4</v>
      </c>
      <c r="E6" t="s">
        <v>160</v>
      </c>
      <c r="F6" t="s">
        <v>55</v>
      </c>
      <c r="G6" t="s">
        <v>166</v>
      </c>
      <c r="H6">
        <v>0</v>
      </c>
      <c r="I6" s="13">
        <v>0.25</v>
      </c>
      <c r="J6">
        <v>1</v>
      </c>
      <c r="K6" s="2">
        <v>2</v>
      </c>
      <c r="L6">
        <v>3</v>
      </c>
      <c r="M6" s="2">
        <f t="shared" si="0"/>
        <v>1</v>
      </c>
      <c r="N6">
        <v>2</v>
      </c>
      <c r="O6">
        <v>2</v>
      </c>
      <c r="P6">
        <f t="shared" si="1"/>
        <v>0</v>
      </c>
      <c r="Q6">
        <v>1</v>
      </c>
      <c r="R6">
        <v>1</v>
      </c>
      <c r="S6">
        <f t="shared" si="2"/>
        <v>0</v>
      </c>
      <c r="T6">
        <v>1</v>
      </c>
      <c r="U6">
        <v>1</v>
      </c>
      <c r="V6">
        <f t="shared" si="3"/>
        <v>0</v>
      </c>
      <c r="W6">
        <v>2</v>
      </c>
      <c r="X6">
        <v>2</v>
      </c>
      <c r="Y6">
        <f t="shared" si="4"/>
        <v>0</v>
      </c>
      <c r="Z6" s="2">
        <v>0</v>
      </c>
      <c r="AA6" s="2">
        <v>0</v>
      </c>
      <c r="AB6" s="2">
        <v>0</v>
      </c>
      <c r="AC6">
        <f t="shared" si="5"/>
        <v>0</v>
      </c>
      <c r="AD6" s="2">
        <v>0</v>
      </c>
      <c r="AE6" s="2">
        <v>0</v>
      </c>
      <c r="AF6" s="2">
        <v>0</v>
      </c>
      <c r="AG6" s="2">
        <v>0</v>
      </c>
      <c r="AH6" s="2">
        <v>0</v>
      </c>
      <c r="AI6" s="2">
        <v>0</v>
      </c>
      <c r="AJ6" s="2">
        <v>0</v>
      </c>
      <c r="AK6" s="2">
        <v>0</v>
      </c>
      <c r="AL6">
        <f t="shared" si="6"/>
        <v>1</v>
      </c>
      <c r="AM6" t="s">
        <v>140</v>
      </c>
      <c r="AN6" t="s">
        <v>271</v>
      </c>
    </row>
    <row r="7" spans="1:40" x14ac:dyDescent="0.35">
      <c r="A7">
        <v>14</v>
      </c>
      <c r="B7" t="s">
        <v>164</v>
      </c>
      <c r="C7">
        <v>0.44</v>
      </c>
      <c r="D7" s="2">
        <v>4</v>
      </c>
      <c r="E7" t="s">
        <v>61</v>
      </c>
      <c r="F7" t="s">
        <v>53</v>
      </c>
      <c r="G7" t="s">
        <v>166</v>
      </c>
      <c r="H7">
        <v>0</v>
      </c>
      <c r="I7" s="13">
        <v>1</v>
      </c>
      <c r="J7">
        <v>2</v>
      </c>
      <c r="K7" s="2">
        <v>3</v>
      </c>
      <c r="L7">
        <v>2</v>
      </c>
      <c r="M7" s="2">
        <f t="shared" si="0"/>
        <v>-1</v>
      </c>
      <c r="N7">
        <v>7</v>
      </c>
      <c r="O7">
        <v>3</v>
      </c>
      <c r="P7">
        <f t="shared" si="1"/>
        <v>-4</v>
      </c>
      <c r="Q7">
        <v>2</v>
      </c>
      <c r="R7">
        <v>2</v>
      </c>
      <c r="S7">
        <f t="shared" si="2"/>
        <v>0</v>
      </c>
      <c r="T7">
        <v>1</v>
      </c>
      <c r="U7">
        <v>3</v>
      </c>
      <c r="V7">
        <f t="shared" si="3"/>
        <v>2</v>
      </c>
      <c r="W7">
        <v>1</v>
      </c>
      <c r="X7">
        <v>1</v>
      </c>
      <c r="Y7">
        <f t="shared" si="4"/>
        <v>0</v>
      </c>
      <c r="Z7" s="2">
        <v>0</v>
      </c>
      <c r="AA7" s="2">
        <v>0</v>
      </c>
      <c r="AB7" s="2">
        <v>0</v>
      </c>
      <c r="AC7">
        <f t="shared" si="5"/>
        <v>0</v>
      </c>
      <c r="AD7" s="2">
        <v>0</v>
      </c>
      <c r="AE7" s="2">
        <v>0</v>
      </c>
      <c r="AF7" s="2">
        <v>0</v>
      </c>
      <c r="AG7" s="2">
        <v>0</v>
      </c>
      <c r="AH7" s="2">
        <v>0</v>
      </c>
      <c r="AI7" s="2">
        <v>0</v>
      </c>
      <c r="AJ7" s="2">
        <v>0</v>
      </c>
      <c r="AK7" s="2">
        <v>0</v>
      </c>
      <c r="AL7">
        <f t="shared" si="6"/>
        <v>1</v>
      </c>
      <c r="AM7" t="s">
        <v>140</v>
      </c>
      <c r="AN7" t="s">
        <v>271</v>
      </c>
    </row>
    <row r="8" spans="1:40" x14ac:dyDescent="0.35">
      <c r="A8">
        <v>16</v>
      </c>
      <c r="B8" t="s">
        <v>18</v>
      </c>
      <c r="C8">
        <v>-0.04</v>
      </c>
      <c r="D8" s="2">
        <v>13</v>
      </c>
      <c r="E8" t="s">
        <v>62</v>
      </c>
      <c r="F8" t="s">
        <v>55</v>
      </c>
      <c r="G8" t="s">
        <v>166</v>
      </c>
      <c r="H8">
        <v>0</v>
      </c>
      <c r="I8" s="13">
        <v>0.25</v>
      </c>
      <c r="J8">
        <v>1</v>
      </c>
      <c r="K8" s="2">
        <v>3</v>
      </c>
      <c r="L8">
        <v>3</v>
      </c>
      <c r="M8" s="2">
        <f t="shared" si="0"/>
        <v>0</v>
      </c>
      <c r="N8">
        <v>8</v>
      </c>
      <c r="O8">
        <v>8</v>
      </c>
      <c r="P8">
        <f t="shared" si="1"/>
        <v>0</v>
      </c>
      <c r="Q8">
        <v>1</v>
      </c>
      <c r="R8">
        <v>1</v>
      </c>
      <c r="S8">
        <f t="shared" si="2"/>
        <v>0</v>
      </c>
      <c r="T8">
        <v>2</v>
      </c>
      <c r="U8">
        <v>2</v>
      </c>
      <c r="V8">
        <f t="shared" si="3"/>
        <v>0</v>
      </c>
      <c r="W8">
        <v>1</v>
      </c>
      <c r="X8">
        <v>1</v>
      </c>
      <c r="Y8">
        <f t="shared" si="4"/>
        <v>0</v>
      </c>
      <c r="Z8" s="2">
        <v>1</v>
      </c>
      <c r="AA8" s="2">
        <v>1</v>
      </c>
      <c r="AB8" s="2">
        <v>1</v>
      </c>
      <c r="AC8">
        <f t="shared" si="5"/>
        <v>1</v>
      </c>
      <c r="AD8" s="2">
        <v>0</v>
      </c>
      <c r="AE8" s="2">
        <v>0</v>
      </c>
      <c r="AF8" s="2">
        <v>0</v>
      </c>
      <c r="AG8" s="2">
        <v>0</v>
      </c>
      <c r="AH8" s="2">
        <v>0</v>
      </c>
      <c r="AI8" s="2">
        <v>0</v>
      </c>
      <c r="AJ8" s="2">
        <v>0</v>
      </c>
      <c r="AK8" s="2">
        <v>0</v>
      </c>
      <c r="AL8">
        <f t="shared" si="6"/>
        <v>0</v>
      </c>
      <c r="AM8" t="s">
        <v>136</v>
      </c>
      <c r="AN8" t="s">
        <v>270</v>
      </c>
    </row>
    <row r="9" spans="1:40" x14ac:dyDescent="0.35">
      <c r="A9">
        <v>17</v>
      </c>
      <c r="B9" t="s">
        <v>18</v>
      </c>
      <c r="C9">
        <v>-0.04</v>
      </c>
      <c r="D9" s="2">
        <v>12</v>
      </c>
      <c r="E9" t="s">
        <v>62</v>
      </c>
      <c r="F9" t="s">
        <v>53</v>
      </c>
      <c r="G9" t="s">
        <v>166</v>
      </c>
      <c r="H9">
        <v>0</v>
      </c>
      <c r="I9" s="13">
        <v>0.25</v>
      </c>
      <c r="J9">
        <v>1</v>
      </c>
      <c r="K9" s="2">
        <v>4</v>
      </c>
      <c r="L9">
        <v>4</v>
      </c>
      <c r="M9" s="2">
        <f t="shared" si="0"/>
        <v>0</v>
      </c>
      <c r="N9">
        <v>8</v>
      </c>
      <c r="O9">
        <v>8</v>
      </c>
      <c r="P9">
        <f t="shared" si="1"/>
        <v>0</v>
      </c>
      <c r="Q9">
        <v>3</v>
      </c>
      <c r="R9">
        <v>3</v>
      </c>
      <c r="S9">
        <f t="shared" si="2"/>
        <v>0</v>
      </c>
      <c r="T9">
        <v>1</v>
      </c>
      <c r="U9">
        <v>2</v>
      </c>
      <c r="V9">
        <f t="shared" si="3"/>
        <v>1</v>
      </c>
      <c r="W9">
        <v>1</v>
      </c>
      <c r="X9">
        <v>1</v>
      </c>
      <c r="Y9">
        <f t="shared" si="4"/>
        <v>0</v>
      </c>
      <c r="Z9" s="2">
        <v>0</v>
      </c>
      <c r="AA9" s="2">
        <v>1</v>
      </c>
      <c r="AB9" s="2">
        <v>1</v>
      </c>
      <c r="AC9">
        <f t="shared" si="5"/>
        <v>1</v>
      </c>
      <c r="AD9" s="2">
        <v>1</v>
      </c>
      <c r="AE9" s="2">
        <v>1</v>
      </c>
      <c r="AF9" s="2">
        <v>0</v>
      </c>
      <c r="AG9" s="2">
        <v>1</v>
      </c>
      <c r="AH9" s="2">
        <v>0</v>
      </c>
      <c r="AI9" s="2">
        <v>0</v>
      </c>
      <c r="AJ9" s="2">
        <v>1</v>
      </c>
      <c r="AK9" s="2">
        <v>0</v>
      </c>
      <c r="AL9">
        <f t="shared" si="6"/>
        <v>0</v>
      </c>
      <c r="AM9" t="s">
        <v>9</v>
      </c>
      <c r="AN9" t="s">
        <v>269</v>
      </c>
    </row>
    <row r="10" spans="1:40" x14ac:dyDescent="0.35">
      <c r="A10">
        <v>20</v>
      </c>
      <c r="B10" t="s">
        <v>18</v>
      </c>
      <c r="C10">
        <v>-0.04</v>
      </c>
      <c r="D10" s="2">
        <v>60</v>
      </c>
      <c r="E10" t="s">
        <v>160</v>
      </c>
      <c r="F10" t="s">
        <v>53</v>
      </c>
      <c r="G10" t="s">
        <v>166</v>
      </c>
      <c r="H10">
        <v>0</v>
      </c>
      <c r="I10" s="13">
        <v>0.25</v>
      </c>
      <c r="J10">
        <v>1</v>
      </c>
      <c r="K10" s="2">
        <v>5</v>
      </c>
      <c r="L10">
        <v>5</v>
      </c>
      <c r="M10" s="2">
        <f t="shared" si="0"/>
        <v>0</v>
      </c>
      <c r="N10">
        <v>9</v>
      </c>
      <c r="O10">
        <v>9</v>
      </c>
      <c r="P10">
        <f t="shared" si="1"/>
        <v>0</v>
      </c>
      <c r="Q10">
        <v>2</v>
      </c>
      <c r="R10">
        <v>2</v>
      </c>
      <c r="S10">
        <f t="shared" si="2"/>
        <v>0</v>
      </c>
      <c r="T10">
        <v>1</v>
      </c>
      <c r="U10">
        <v>2</v>
      </c>
      <c r="V10">
        <f t="shared" si="3"/>
        <v>1</v>
      </c>
      <c r="W10">
        <v>1</v>
      </c>
      <c r="X10">
        <v>1</v>
      </c>
      <c r="Y10">
        <f t="shared" si="4"/>
        <v>0</v>
      </c>
      <c r="Z10" s="2">
        <v>0</v>
      </c>
      <c r="AA10" s="2">
        <v>0</v>
      </c>
      <c r="AB10" s="2">
        <v>0</v>
      </c>
      <c r="AC10">
        <f t="shared" si="5"/>
        <v>0</v>
      </c>
      <c r="AD10" s="2">
        <v>0</v>
      </c>
      <c r="AE10" s="2">
        <v>1</v>
      </c>
      <c r="AF10" s="2">
        <v>0</v>
      </c>
      <c r="AG10" s="2">
        <v>0</v>
      </c>
      <c r="AH10" s="2">
        <v>0</v>
      </c>
      <c r="AI10" s="2">
        <v>0</v>
      </c>
      <c r="AJ10" s="2">
        <v>0</v>
      </c>
      <c r="AK10" s="2">
        <v>0</v>
      </c>
      <c r="AL10">
        <f t="shared" si="6"/>
        <v>0</v>
      </c>
      <c r="AM10" t="s">
        <v>6</v>
      </c>
      <c r="AN10" t="s">
        <v>269</v>
      </c>
    </row>
    <row r="11" spans="1:40" x14ac:dyDescent="0.35">
      <c r="A11">
        <v>23</v>
      </c>
      <c r="B11" t="s">
        <v>165</v>
      </c>
      <c r="C11">
        <v>1.47</v>
      </c>
      <c r="D11" s="2">
        <v>29</v>
      </c>
      <c r="E11" t="s">
        <v>162</v>
      </c>
      <c r="F11" t="s">
        <v>56</v>
      </c>
      <c r="G11" t="s">
        <v>166</v>
      </c>
      <c r="H11">
        <v>0</v>
      </c>
      <c r="I11" s="13">
        <v>1</v>
      </c>
      <c r="J11">
        <v>2</v>
      </c>
      <c r="K11" s="2">
        <v>7</v>
      </c>
      <c r="L11">
        <v>6</v>
      </c>
      <c r="M11" s="2">
        <f t="shared" si="0"/>
        <v>-1</v>
      </c>
      <c r="N11">
        <v>8</v>
      </c>
      <c r="O11">
        <v>6</v>
      </c>
      <c r="P11">
        <f t="shared" si="1"/>
        <v>-2</v>
      </c>
      <c r="Q11">
        <v>3</v>
      </c>
      <c r="R11">
        <v>3</v>
      </c>
      <c r="S11">
        <f t="shared" si="2"/>
        <v>0</v>
      </c>
      <c r="T11">
        <v>1</v>
      </c>
      <c r="U11">
        <v>1</v>
      </c>
      <c r="V11">
        <f t="shared" si="3"/>
        <v>0</v>
      </c>
      <c r="W11">
        <v>1</v>
      </c>
      <c r="X11">
        <v>1</v>
      </c>
      <c r="Y11">
        <f t="shared" si="4"/>
        <v>0</v>
      </c>
      <c r="Z11" s="2">
        <v>0</v>
      </c>
      <c r="AA11" s="2">
        <v>0</v>
      </c>
      <c r="AB11" s="2">
        <v>0</v>
      </c>
      <c r="AC11">
        <f t="shared" si="5"/>
        <v>0</v>
      </c>
      <c r="AD11" s="2">
        <v>0</v>
      </c>
      <c r="AE11" s="2">
        <v>0</v>
      </c>
      <c r="AF11" s="2">
        <v>0</v>
      </c>
      <c r="AG11" s="2">
        <v>1</v>
      </c>
      <c r="AH11" s="2">
        <v>0</v>
      </c>
      <c r="AI11" s="2">
        <v>0</v>
      </c>
      <c r="AJ11" s="2">
        <v>0</v>
      </c>
      <c r="AK11" s="2">
        <v>1</v>
      </c>
      <c r="AL11">
        <f t="shared" si="6"/>
        <v>0</v>
      </c>
      <c r="AM11" t="s">
        <v>140</v>
      </c>
      <c r="AN11" t="s">
        <v>271</v>
      </c>
    </row>
    <row r="12" spans="1:40" x14ac:dyDescent="0.35">
      <c r="A12">
        <v>24</v>
      </c>
      <c r="B12" t="s">
        <v>18</v>
      </c>
      <c r="C12">
        <v>-0.04</v>
      </c>
      <c r="D12" s="2">
        <v>93</v>
      </c>
      <c r="E12" t="s">
        <v>160</v>
      </c>
      <c r="F12" t="s">
        <v>53</v>
      </c>
      <c r="G12" t="s">
        <v>167</v>
      </c>
      <c r="H12">
        <v>0</v>
      </c>
      <c r="I12" s="13">
        <v>0.25</v>
      </c>
      <c r="J12">
        <v>1</v>
      </c>
      <c r="K12" s="2">
        <v>4</v>
      </c>
      <c r="L12">
        <v>4</v>
      </c>
      <c r="M12" s="2">
        <f t="shared" si="0"/>
        <v>0</v>
      </c>
      <c r="N12">
        <v>8</v>
      </c>
      <c r="O12">
        <v>7</v>
      </c>
      <c r="P12">
        <f t="shared" si="1"/>
        <v>-1</v>
      </c>
      <c r="Q12">
        <v>2</v>
      </c>
      <c r="R12">
        <v>2</v>
      </c>
      <c r="S12">
        <f t="shared" si="2"/>
        <v>0</v>
      </c>
      <c r="T12">
        <v>2</v>
      </c>
      <c r="U12">
        <v>2</v>
      </c>
      <c r="V12">
        <f t="shared" si="3"/>
        <v>0</v>
      </c>
      <c r="W12">
        <v>0</v>
      </c>
      <c r="X12">
        <v>0</v>
      </c>
      <c r="Y12">
        <f t="shared" si="4"/>
        <v>0</v>
      </c>
      <c r="Z12" s="2">
        <v>0</v>
      </c>
      <c r="AA12" s="2">
        <v>1</v>
      </c>
      <c r="AB12" s="2">
        <v>0</v>
      </c>
      <c r="AC12">
        <f t="shared" si="5"/>
        <v>1</v>
      </c>
      <c r="AD12" s="2">
        <v>0</v>
      </c>
      <c r="AE12" s="2">
        <v>1</v>
      </c>
      <c r="AF12" s="2">
        <v>0</v>
      </c>
      <c r="AG12" s="2">
        <v>1</v>
      </c>
      <c r="AH12" s="2">
        <v>0</v>
      </c>
      <c r="AI12" s="2">
        <v>0</v>
      </c>
      <c r="AJ12" s="2">
        <v>0</v>
      </c>
      <c r="AK12" s="2">
        <v>0</v>
      </c>
      <c r="AL12">
        <f t="shared" si="6"/>
        <v>0</v>
      </c>
      <c r="AM12" t="s">
        <v>136</v>
      </c>
      <c r="AN12" t="s">
        <v>270</v>
      </c>
    </row>
    <row r="13" spans="1:40" x14ac:dyDescent="0.35">
      <c r="A13">
        <v>25</v>
      </c>
      <c r="B13" t="s">
        <v>16</v>
      </c>
      <c r="C13">
        <v>1.61</v>
      </c>
      <c r="D13">
        <v>66</v>
      </c>
      <c r="E13" t="s">
        <v>141</v>
      </c>
      <c r="F13" t="s">
        <v>55</v>
      </c>
      <c r="G13" t="s">
        <v>166</v>
      </c>
      <c r="H13">
        <v>0</v>
      </c>
      <c r="I13" s="13">
        <v>0.5</v>
      </c>
      <c r="J13">
        <v>2</v>
      </c>
      <c r="K13" s="2">
        <v>3</v>
      </c>
      <c r="L13">
        <v>3</v>
      </c>
      <c r="M13" s="2">
        <f t="shared" si="0"/>
        <v>0</v>
      </c>
      <c r="N13">
        <v>8</v>
      </c>
      <c r="O13">
        <v>7</v>
      </c>
      <c r="P13">
        <f t="shared" si="1"/>
        <v>-1</v>
      </c>
      <c r="Q13">
        <v>2</v>
      </c>
      <c r="R13">
        <v>2</v>
      </c>
      <c r="S13">
        <f t="shared" si="2"/>
        <v>0</v>
      </c>
      <c r="T13">
        <v>4</v>
      </c>
      <c r="U13">
        <v>2</v>
      </c>
      <c r="V13">
        <f t="shared" si="3"/>
        <v>-2</v>
      </c>
      <c r="W13">
        <v>0</v>
      </c>
      <c r="X13">
        <v>0</v>
      </c>
      <c r="Y13">
        <f t="shared" si="4"/>
        <v>0</v>
      </c>
      <c r="Z13" s="2">
        <v>0</v>
      </c>
      <c r="AA13" s="5">
        <v>1</v>
      </c>
      <c r="AB13" s="5">
        <v>1</v>
      </c>
      <c r="AC13">
        <f t="shared" si="5"/>
        <v>1</v>
      </c>
      <c r="AD13" s="2">
        <v>0</v>
      </c>
      <c r="AE13" s="2">
        <v>1</v>
      </c>
      <c r="AF13" s="2">
        <v>0</v>
      </c>
      <c r="AG13" s="2">
        <v>1</v>
      </c>
      <c r="AH13" s="2">
        <v>0</v>
      </c>
      <c r="AI13" s="2">
        <v>0</v>
      </c>
      <c r="AJ13" s="2">
        <v>1</v>
      </c>
      <c r="AK13" s="2">
        <v>0</v>
      </c>
      <c r="AL13">
        <f t="shared" si="6"/>
        <v>0</v>
      </c>
      <c r="AM13" t="s">
        <v>136</v>
      </c>
      <c r="AN13" t="s">
        <v>270</v>
      </c>
    </row>
    <row r="14" spans="1:40" x14ac:dyDescent="0.35">
      <c r="A14">
        <v>26</v>
      </c>
      <c r="B14" t="s">
        <v>14</v>
      </c>
      <c r="C14">
        <v>1.42</v>
      </c>
      <c r="D14" s="2">
        <v>23</v>
      </c>
      <c r="E14" t="s">
        <v>160</v>
      </c>
      <c r="F14" t="s">
        <v>53</v>
      </c>
      <c r="G14" t="s">
        <v>166</v>
      </c>
      <c r="H14">
        <v>0</v>
      </c>
      <c r="I14" s="13">
        <v>0.75</v>
      </c>
      <c r="J14">
        <v>1</v>
      </c>
      <c r="K14" s="2">
        <v>3</v>
      </c>
      <c r="L14">
        <v>3</v>
      </c>
      <c r="M14" s="2">
        <f t="shared" si="0"/>
        <v>0</v>
      </c>
      <c r="N14">
        <v>6</v>
      </c>
      <c r="O14">
        <v>3</v>
      </c>
      <c r="P14">
        <f t="shared" si="1"/>
        <v>-3</v>
      </c>
      <c r="Q14">
        <v>2</v>
      </c>
      <c r="R14">
        <v>2</v>
      </c>
      <c r="S14">
        <f t="shared" si="2"/>
        <v>0</v>
      </c>
      <c r="T14">
        <v>4</v>
      </c>
      <c r="U14">
        <v>4</v>
      </c>
      <c r="V14">
        <f t="shared" si="3"/>
        <v>0</v>
      </c>
      <c r="W14">
        <v>0</v>
      </c>
      <c r="X14">
        <v>0</v>
      </c>
      <c r="Y14">
        <f t="shared" si="4"/>
        <v>0</v>
      </c>
      <c r="Z14" s="2">
        <v>0</v>
      </c>
      <c r="AA14" s="2">
        <v>0</v>
      </c>
      <c r="AB14" s="2">
        <v>0</v>
      </c>
      <c r="AC14">
        <f t="shared" si="5"/>
        <v>0</v>
      </c>
      <c r="AD14" s="2">
        <v>0</v>
      </c>
      <c r="AE14" s="2">
        <v>0</v>
      </c>
      <c r="AF14" s="2">
        <v>0</v>
      </c>
      <c r="AG14" s="2">
        <v>0</v>
      </c>
      <c r="AH14" s="2">
        <v>0</v>
      </c>
      <c r="AI14" s="2">
        <v>0</v>
      </c>
      <c r="AJ14" s="2">
        <v>0</v>
      </c>
      <c r="AK14" s="2">
        <v>0</v>
      </c>
      <c r="AL14">
        <f t="shared" si="6"/>
        <v>1</v>
      </c>
      <c r="AM14" t="s">
        <v>140</v>
      </c>
      <c r="AN14" t="s">
        <v>271</v>
      </c>
    </row>
    <row r="15" spans="1:40" x14ac:dyDescent="0.35">
      <c r="A15">
        <v>27</v>
      </c>
      <c r="B15" t="s">
        <v>18</v>
      </c>
      <c r="C15">
        <v>-0.04</v>
      </c>
      <c r="D15" s="5">
        <v>14</v>
      </c>
      <c r="E15" t="s">
        <v>141</v>
      </c>
      <c r="F15" t="s">
        <v>53</v>
      </c>
      <c r="G15" t="s">
        <v>166</v>
      </c>
      <c r="H15">
        <v>0</v>
      </c>
      <c r="I15" s="13">
        <v>0.5</v>
      </c>
      <c r="J15">
        <v>1</v>
      </c>
      <c r="K15" s="2">
        <v>5</v>
      </c>
      <c r="L15">
        <v>5</v>
      </c>
      <c r="M15" s="2">
        <f t="shared" si="0"/>
        <v>0</v>
      </c>
      <c r="N15">
        <v>7</v>
      </c>
      <c r="O15">
        <v>6</v>
      </c>
      <c r="P15">
        <f t="shared" si="1"/>
        <v>-1</v>
      </c>
      <c r="Q15">
        <v>3</v>
      </c>
      <c r="R15">
        <v>3</v>
      </c>
      <c r="S15">
        <f t="shared" si="2"/>
        <v>0</v>
      </c>
      <c r="T15">
        <v>3</v>
      </c>
      <c r="U15">
        <v>1</v>
      </c>
      <c r="V15">
        <f t="shared" si="3"/>
        <v>-2</v>
      </c>
      <c r="W15">
        <v>1</v>
      </c>
      <c r="X15">
        <v>1</v>
      </c>
      <c r="Y15">
        <f t="shared" si="4"/>
        <v>0</v>
      </c>
      <c r="Z15" s="2">
        <v>0</v>
      </c>
      <c r="AA15" s="2">
        <v>0</v>
      </c>
      <c r="AB15" s="2">
        <v>0</v>
      </c>
      <c r="AC15">
        <f t="shared" si="5"/>
        <v>0</v>
      </c>
      <c r="AD15" s="2">
        <v>0</v>
      </c>
      <c r="AE15" s="2">
        <v>1</v>
      </c>
      <c r="AF15" s="2">
        <v>0</v>
      </c>
      <c r="AG15" s="2">
        <v>1</v>
      </c>
      <c r="AH15" s="2">
        <v>0</v>
      </c>
      <c r="AI15" s="2">
        <v>0</v>
      </c>
      <c r="AJ15" s="2">
        <v>1</v>
      </c>
      <c r="AK15" s="2">
        <v>0</v>
      </c>
      <c r="AL15">
        <f t="shared" si="6"/>
        <v>0</v>
      </c>
      <c r="AM15" s="9" t="s">
        <v>39</v>
      </c>
      <c r="AN15" t="s">
        <v>270</v>
      </c>
    </row>
    <row r="16" spans="1:40" x14ac:dyDescent="0.35">
      <c r="A16">
        <v>29</v>
      </c>
      <c r="B16" t="s">
        <v>165</v>
      </c>
      <c r="C16">
        <v>1.47</v>
      </c>
      <c r="D16">
        <v>24</v>
      </c>
      <c r="E16" t="s">
        <v>162</v>
      </c>
      <c r="F16" t="s">
        <v>56</v>
      </c>
      <c r="G16" t="s">
        <v>167</v>
      </c>
      <c r="H16">
        <v>0</v>
      </c>
      <c r="I16" s="13">
        <v>0.5</v>
      </c>
      <c r="J16">
        <v>2</v>
      </c>
      <c r="K16" s="2">
        <v>4</v>
      </c>
      <c r="L16">
        <v>4</v>
      </c>
      <c r="M16" s="2">
        <f t="shared" si="0"/>
        <v>0</v>
      </c>
      <c r="N16">
        <v>3</v>
      </c>
      <c r="O16">
        <v>3</v>
      </c>
      <c r="P16">
        <f t="shared" si="1"/>
        <v>0</v>
      </c>
      <c r="Q16">
        <v>3</v>
      </c>
      <c r="R16">
        <v>3</v>
      </c>
      <c r="S16">
        <f t="shared" si="2"/>
        <v>0</v>
      </c>
      <c r="T16">
        <v>1</v>
      </c>
      <c r="U16">
        <v>2</v>
      </c>
      <c r="V16">
        <f t="shared" si="3"/>
        <v>1</v>
      </c>
      <c r="W16">
        <v>1</v>
      </c>
      <c r="X16">
        <v>1</v>
      </c>
      <c r="Y16">
        <f t="shared" si="4"/>
        <v>0</v>
      </c>
      <c r="Z16" s="2">
        <v>0</v>
      </c>
      <c r="AA16" s="2">
        <v>0</v>
      </c>
      <c r="AB16" s="2">
        <v>0</v>
      </c>
      <c r="AC16">
        <f t="shared" si="5"/>
        <v>0</v>
      </c>
      <c r="AD16" s="2">
        <v>0</v>
      </c>
      <c r="AE16" s="2">
        <v>1</v>
      </c>
      <c r="AF16" s="2">
        <v>0</v>
      </c>
      <c r="AG16" s="2">
        <v>1</v>
      </c>
      <c r="AH16" s="2">
        <v>0</v>
      </c>
      <c r="AI16" s="2">
        <v>0</v>
      </c>
      <c r="AJ16" s="2">
        <v>1</v>
      </c>
      <c r="AK16" s="2">
        <v>0</v>
      </c>
      <c r="AL16">
        <f t="shared" si="6"/>
        <v>0</v>
      </c>
      <c r="AM16" t="s">
        <v>140</v>
      </c>
      <c r="AN16" t="s">
        <v>271</v>
      </c>
    </row>
    <row r="17" spans="1:40" x14ac:dyDescent="0.35">
      <c r="A17">
        <v>30</v>
      </c>
      <c r="B17" t="s">
        <v>16</v>
      </c>
      <c r="C17">
        <v>1.61</v>
      </c>
      <c r="D17" s="2">
        <v>117</v>
      </c>
      <c r="E17" t="s">
        <v>52</v>
      </c>
      <c r="F17" t="s">
        <v>59</v>
      </c>
      <c r="G17" t="s">
        <v>167</v>
      </c>
      <c r="H17">
        <v>0</v>
      </c>
      <c r="I17" s="13">
        <v>0.25</v>
      </c>
      <c r="J17">
        <v>2</v>
      </c>
      <c r="K17" s="2">
        <v>9</v>
      </c>
      <c r="L17">
        <v>10</v>
      </c>
      <c r="M17" s="2">
        <f t="shared" si="0"/>
        <v>1</v>
      </c>
      <c r="N17">
        <v>9</v>
      </c>
      <c r="O17">
        <v>8</v>
      </c>
      <c r="P17">
        <f t="shared" si="1"/>
        <v>-1</v>
      </c>
      <c r="Q17">
        <v>2</v>
      </c>
      <c r="R17">
        <v>2</v>
      </c>
      <c r="S17">
        <f t="shared" si="2"/>
        <v>0</v>
      </c>
      <c r="T17">
        <v>1</v>
      </c>
      <c r="U17">
        <v>2</v>
      </c>
      <c r="V17">
        <f t="shared" si="3"/>
        <v>1</v>
      </c>
      <c r="W17">
        <v>0</v>
      </c>
      <c r="X17">
        <v>0</v>
      </c>
      <c r="Y17">
        <f t="shared" si="4"/>
        <v>0</v>
      </c>
      <c r="Z17" s="2">
        <v>0</v>
      </c>
      <c r="AA17" s="5">
        <v>1</v>
      </c>
      <c r="AB17" s="5">
        <v>0</v>
      </c>
      <c r="AC17">
        <f t="shared" si="5"/>
        <v>1</v>
      </c>
      <c r="AD17" s="2">
        <v>0</v>
      </c>
      <c r="AE17" s="2">
        <v>1</v>
      </c>
      <c r="AF17" s="2">
        <v>0</v>
      </c>
      <c r="AG17" s="2">
        <v>1</v>
      </c>
      <c r="AH17" s="2">
        <v>0</v>
      </c>
      <c r="AI17" s="2">
        <v>0</v>
      </c>
      <c r="AJ17" s="2">
        <v>1</v>
      </c>
      <c r="AK17" s="2">
        <v>0</v>
      </c>
      <c r="AL17">
        <f t="shared" si="6"/>
        <v>0</v>
      </c>
      <c r="AM17" t="s">
        <v>6</v>
      </c>
      <c r="AN17" t="s">
        <v>269</v>
      </c>
    </row>
    <row r="18" spans="1:40" x14ac:dyDescent="0.35">
      <c r="A18">
        <v>31</v>
      </c>
      <c r="B18" t="s">
        <v>164</v>
      </c>
      <c r="C18">
        <v>0.44</v>
      </c>
      <c r="D18" s="2">
        <v>6</v>
      </c>
      <c r="E18" t="s">
        <v>162</v>
      </c>
      <c r="F18" t="s">
        <v>55</v>
      </c>
      <c r="G18" t="s">
        <v>166</v>
      </c>
      <c r="H18">
        <v>0</v>
      </c>
      <c r="I18" s="13">
        <v>0.25</v>
      </c>
      <c r="J18">
        <v>2</v>
      </c>
      <c r="K18" s="2">
        <v>3</v>
      </c>
      <c r="L18">
        <v>3</v>
      </c>
      <c r="M18" s="2">
        <f t="shared" si="0"/>
        <v>0</v>
      </c>
      <c r="N18">
        <v>5</v>
      </c>
      <c r="O18">
        <v>5</v>
      </c>
      <c r="P18">
        <f t="shared" si="1"/>
        <v>0</v>
      </c>
      <c r="Q18">
        <v>1</v>
      </c>
      <c r="R18">
        <v>1</v>
      </c>
      <c r="S18">
        <f t="shared" si="2"/>
        <v>0</v>
      </c>
      <c r="T18">
        <v>2</v>
      </c>
      <c r="U18">
        <v>2</v>
      </c>
      <c r="V18">
        <f t="shared" si="3"/>
        <v>0</v>
      </c>
      <c r="W18">
        <v>1</v>
      </c>
      <c r="X18">
        <v>1</v>
      </c>
      <c r="Y18">
        <f t="shared" si="4"/>
        <v>0</v>
      </c>
      <c r="Z18" s="2">
        <v>0</v>
      </c>
      <c r="AA18" s="2">
        <v>0</v>
      </c>
      <c r="AB18" s="2">
        <v>0</v>
      </c>
      <c r="AC18">
        <f t="shared" si="5"/>
        <v>0</v>
      </c>
      <c r="AD18" s="2">
        <v>0</v>
      </c>
      <c r="AE18" s="2">
        <v>0</v>
      </c>
      <c r="AF18" s="2">
        <v>0</v>
      </c>
      <c r="AG18" s="2">
        <v>1</v>
      </c>
      <c r="AH18" s="2">
        <v>0</v>
      </c>
      <c r="AI18" s="2">
        <v>0</v>
      </c>
      <c r="AJ18" s="2">
        <v>0</v>
      </c>
      <c r="AK18" s="2">
        <v>0</v>
      </c>
      <c r="AL18">
        <f t="shared" si="6"/>
        <v>0</v>
      </c>
      <c r="AM18" t="s">
        <v>140</v>
      </c>
      <c r="AN18" t="s">
        <v>271</v>
      </c>
    </row>
    <row r="19" spans="1:40" x14ac:dyDescent="0.35">
      <c r="A19">
        <v>38</v>
      </c>
      <c r="B19" t="s">
        <v>164</v>
      </c>
      <c r="C19">
        <v>0.44</v>
      </c>
      <c r="D19" s="5">
        <v>14</v>
      </c>
      <c r="E19" t="s">
        <v>61</v>
      </c>
      <c r="F19" t="s">
        <v>53</v>
      </c>
      <c r="G19" t="s">
        <v>166</v>
      </c>
      <c r="H19">
        <v>0</v>
      </c>
      <c r="I19" s="13">
        <v>0.75</v>
      </c>
      <c r="J19">
        <v>2</v>
      </c>
      <c r="K19" s="2">
        <v>2</v>
      </c>
      <c r="L19">
        <v>1</v>
      </c>
      <c r="M19" s="2">
        <f t="shared" si="0"/>
        <v>-1</v>
      </c>
      <c r="N19">
        <v>9</v>
      </c>
      <c r="O19">
        <v>9</v>
      </c>
      <c r="P19">
        <f t="shared" si="1"/>
        <v>0</v>
      </c>
      <c r="Q19">
        <v>1</v>
      </c>
      <c r="R19">
        <v>1</v>
      </c>
      <c r="S19">
        <f t="shared" si="2"/>
        <v>0</v>
      </c>
      <c r="T19">
        <v>1</v>
      </c>
      <c r="U19">
        <v>1</v>
      </c>
      <c r="V19">
        <f t="shared" si="3"/>
        <v>0</v>
      </c>
      <c r="W19">
        <v>0</v>
      </c>
      <c r="X19">
        <v>1</v>
      </c>
      <c r="Y19">
        <f t="shared" si="4"/>
        <v>1</v>
      </c>
      <c r="Z19" s="2">
        <v>0</v>
      </c>
      <c r="AA19" s="2">
        <v>0</v>
      </c>
      <c r="AB19" s="2">
        <v>0</v>
      </c>
      <c r="AC19">
        <f t="shared" si="5"/>
        <v>0</v>
      </c>
      <c r="AD19" s="2">
        <v>0</v>
      </c>
      <c r="AE19" s="2">
        <v>0</v>
      </c>
      <c r="AF19" s="2">
        <v>0</v>
      </c>
      <c r="AG19" s="2">
        <v>1</v>
      </c>
      <c r="AH19" s="2">
        <v>0</v>
      </c>
      <c r="AI19" s="2">
        <v>0</v>
      </c>
      <c r="AJ19" s="2">
        <v>0</v>
      </c>
      <c r="AK19" s="2">
        <v>0</v>
      </c>
      <c r="AL19">
        <f t="shared" si="6"/>
        <v>0</v>
      </c>
      <c r="AM19" s="9" t="s">
        <v>39</v>
      </c>
      <c r="AN19" t="s">
        <v>270</v>
      </c>
    </row>
    <row r="20" spans="1:40" x14ac:dyDescent="0.35">
      <c r="A20">
        <v>40</v>
      </c>
      <c r="B20" t="s">
        <v>164</v>
      </c>
      <c r="C20">
        <v>0.44</v>
      </c>
      <c r="D20" s="5">
        <v>6</v>
      </c>
      <c r="E20" t="s">
        <v>141</v>
      </c>
      <c r="F20" t="s">
        <v>53</v>
      </c>
      <c r="G20" t="s">
        <v>166</v>
      </c>
      <c r="H20">
        <v>0</v>
      </c>
      <c r="I20" s="13">
        <v>0.75</v>
      </c>
      <c r="J20">
        <v>2</v>
      </c>
      <c r="K20" s="2">
        <v>3</v>
      </c>
      <c r="L20">
        <v>4</v>
      </c>
      <c r="M20" s="2">
        <f t="shared" si="0"/>
        <v>1</v>
      </c>
      <c r="N20">
        <v>9</v>
      </c>
      <c r="O20">
        <v>2</v>
      </c>
      <c r="P20">
        <f t="shared" si="1"/>
        <v>-7</v>
      </c>
      <c r="Q20">
        <v>1</v>
      </c>
      <c r="R20">
        <v>2</v>
      </c>
      <c r="S20">
        <f t="shared" si="2"/>
        <v>1</v>
      </c>
      <c r="T20">
        <v>2</v>
      </c>
      <c r="U20">
        <v>2</v>
      </c>
      <c r="V20">
        <f t="shared" si="3"/>
        <v>0</v>
      </c>
      <c r="W20">
        <v>2</v>
      </c>
      <c r="X20">
        <v>1</v>
      </c>
      <c r="Y20">
        <f t="shared" si="4"/>
        <v>-1</v>
      </c>
      <c r="Z20" s="2">
        <v>0</v>
      </c>
      <c r="AA20" s="2">
        <v>0</v>
      </c>
      <c r="AB20" s="2">
        <v>0</v>
      </c>
      <c r="AC20">
        <f t="shared" si="5"/>
        <v>0</v>
      </c>
      <c r="AD20" s="2">
        <v>0</v>
      </c>
      <c r="AE20" s="2">
        <v>1</v>
      </c>
      <c r="AF20" s="2">
        <v>0</v>
      </c>
      <c r="AG20" s="2">
        <v>0</v>
      </c>
      <c r="AH20" s="2">
        <v>0</v>
      </c>
      <c r="AI20" s="2">
        <v>1</v>
      </c>
      <c r="AJ20" s="2">
        <v>0</v>
      </c>
      <c r="AK20" s="2">
        <v>0</v>
      </c>
      <c r="AL20">
        <f t="shared" si="6"/>
        <v>0</v>
      </c>
      <c r="AM20" s="9" t="s">
        <v>47</v>
      </c>
      <c r="AN20" t="s">
        <v>269</v>
      </c>
    </row>
    <row r="21" spans="1:40" x14ac:dyDescent="0.35">
      <c r="A21">
        <v>41</v>
      </c>
      <c r="B21" t="s">
        <v>16</v>
      </c>
      <c r="C21">
        <v>1.61</v>
      </c>
      <c r="D21" s="2">
        <v>109</v>
      </c>
      <c r="E21" t="s">
        <v>52</v>
      </c>
      <c r="F21" t="s">
        <v>60</v>
      </c>
      <c r="G21" t="s">
        <v>167</v>
      </c>
      <c r="H21">
        <v>0</v>
      </c>
      <c r="I21" s="13">
        <v>0.25</v>
      </c>
      <c r="J21">
        <v>2</v>
      </c>
      <c r="K21" s="2">
        <v>4</v>
      </c>
      <c r="L21">
        <v>4</v>
      </c>
      <c r="M21" s="2">
        <f t="shared" si="0"/>
        <v>0</v>
      </c>
      <c r="N21">
        <v>8</v>
      </c>
      <c r="O21">
        <v>8</v>
      </c>
      <c r="P21">
        <f t="shared" si="1"/>
        <v>0</v>
      </c>
      <c r="Q21">
        <v>1</v>
      </c>
      <c r="R21">
        <v>1</v>
      </c>
      <c r="S21">
        <f t="shared" si="2"/>
        <v>0</v>
      </c>
      <c r="T21">
        <v>1</v>
      </c>
      <c r="U21">
        <v>1</v>
      </c>
      <c r="V21">
        <f t="shared" si="3"/>
        <v>0</v>
      </c>
      <c r="W21">
        <v>0</v>
      </c>
      <c r="X21">
        <v>0</v>
      </c>
      <c r="Y21">
        <f t="shared" si="4"/>
        <v>0</v>
      </c>
      <c r="Z21" s="2">
        <v>0</v>
      </c>
      <c r="AA21" s="5">
        <v>0</v>
      </c>
      <c r="AB21" s="5">
        <v>0</v>
      </c>
      <c r="AC21">
        <f t="shared" si="5"/>
        <v>0</v>
      </c>
      <c r="AD21" s="2">
        <v>0</v>
      </c>
      <c r="AE21" s="2">
        <v>0</v>
      </c>
      <c r="AF21" s="2">
        <v>0</v>
      </c>
      <c r="AG21" s="2">
        <v>0</v>
      </c>
      <c r="AH21" s="2">
        <v>0</v>
      </c>
      <c r="AI21" s="2">
        <v>0</v>
      </c>
      <c r="AJ21" s="2">
        <v>0</v>
      </c>
      <c r="AK21" s="2">
        <v>0</v>
      </c>
      <c r="AL21">
        <f t="shared" si="6"/>
        <v>1</v>
      </c>
      <c r="AM21" t="s">
        <v>140</v>
      </c>
      <c r="AN21" t="s">
        <v>271</v>
      </c>
    </row>
    <row r="22" spans="1:40" x14ac:dyDescent="0.35">
      <c r="A22">
        <v>42</v>
      </c>
      <c r="B22" t="s">
        <v>16</v>
      </c>
      <c r="C22">
        <v>1.61</v>
      </c>
      <c r="D22" s="2">
        <v>6</v>
      </c>
      <c r="E22" t="s">
        <v>52</v>
      </c>
      <c r="F22" t="s">
        <v>56</v>
      </c>
      <c r="G22" t="s">
        <v>166</v>
      </c>
      <c r="H22">
        <v>0</v>
      </c>
      <c r="I22" s="13">
        <v>0.25</v>
      </c>
      <c r="J22">
        <v>2</v>
      </c>
      <c r="K22" s="2">
        <v>6</v>
      </c>
      <c r="L22">
        <v>6</v>
      </c>
      <c r="M22" s="2">
        <f t="shared" si="0"/>
        <v>0</v>
      </c>
      <c r="N22">
        <v>8</v>
      </c>
      <c r="O22">
        <v>8</v>
      </c>
      <c r="P22">
        <f t="shared" si="1"/>
        <v>0</v>
      </c>
      <c r="Q22">
        <v>2</v>
      </c>
      <c r="R22">
        <v>2</v>
      </c>
      <c r="S22">
        <f t="shared" si="2"/>
        <v>0</v>
      </c>
      <c r="T22">
        <v>2</v>
      </c>
      <c r="U22">
        <v>2</v>
      </c>
      <c r="V22">
        <f t="shared" si="3"/>
        <v>0</v>
      </c>
      <c r="W22">
        <v>1</v>
      </c>
      <c r="X22">
        <v>1</v>
      </c>
      <c r="Y22">
        <f t="shared" si="4"/>
        <v>0</v>
      </c>
      <c r="Z22" s="2">
        <v>0</v>
      </c>
      <c r="AA22" s="5">
        <v>0</v>
      </c>
      <c r="AB22" s="5">
        <v>0</v>
      </c>
      <c r="AC22">
        <f t="shared" si="5"/>
        <v>0</v>
      </c>
      <c r="AD22" s="2">
        <v>0</v>
      </c>
      <c r="AE22" s="2">
        <v>1</v>
      </c>
      <c r="AF22" s="2">
        <v>0</v>
      </c>
      <c r="AG22" s="2">
        <v>0</v>
      </c>
      <c r="AH22" s="2">
        <v>0</v>
      </c>
      <c r="AI22" s="2">
        <v>0</v>
      </c>
      <c r="AJ22" s="2">
        <v>0</v>
      </c>
      <c r="AK22" s="2">
        <v>0</v>
      </c>
      <c r="AL22">
        <f t="shared" si="6"/>
        <v>0</v>
      </c>
      <c r="AM22" t="s">
        <v>6</v>
      </c>
      <c r="AN22" t="s">
        <v>269</v>
      </c>
    </row>
    <row r="23" spans="1:40" x14ac:dyDescent="0.35">
      <c r="A23">
        <v>44</v>
      </c>
      <c r="B23" t="s">
        <v>16</v>
      </c>
      <c r="C23">
        <v>1.61</v>
      </c>
      <c r="D23" s="2">
        <v>66</v>
      </c>
      <c r="E23" t="s">
        <v>52</v>
      </c>
      <c r="F23" t="s">
        <v>55</v>
      </c>
      <c r="G23" t="s">
        <v>167</v>
      </c>
      <c r="H23">
        <v>0</v>
      </c>
      <c r="I23" s="13">
        <v>0.75</v>
      </c>
      <c r="J23">
        <v>2</v>
      </c>
      <c r="K23" s="2">
        <v>5</v>
      </c>
      <c r="L23">
        <v>5</v>
      </c>
      <c r="M23" s="2">
        <f t="shared" si="0"/>
        <v>0</v>
      </c>
      <c r="N23">
        <v>4</v>
      </c>
      <c r="O23">
        <v>2</v>
      </c>
      <c r="P23">
        <f t="shared" si="1"/>
        <v>-2</v>
      </c>
      <c r="Q23">
        <v>1</v>
      </c>
      <c r="R23">
        <v>1</v>
      </c>
      <c r="S23">
        <f t="shared" si="2"/>
        <v>0</v>
      </c>
      <c r="T23">
        <v>4</v>
      </c>
      <c r="U23">
        <v>2</v>
      </c>
      <c r="V23">
        <f t="shared" si="3"/>
        <v>-2</v>
      </c>
      <c r="W23">
        <v>2</v>
      </c>
      <c r="X23">
        <v>0</v>
      </c>
      <c r="Y23">
        <f t="shared" si="4"/>
        <v>-2</v>
      </c>
      <c r="Z23" s="2">
        <v>0</v>
      </c>
      <c r="AA23" s="5">
        <v>1</v>
      </c>
      <c r="AB23" s="5">
        <v>0</v>
      </c>
      <c r="AC23">
        <f t="shared" si="5"/>
        <v>1</v>
      </c>
      <c r="AD23" s="2">
        <v>0</v>
      </c>
      <c r="AE23" s="2">
        <v>1</v>
      </c>
      <c r="AF23" s="2">
        <v>0</v>
      </c>
      <c r="AG23" s="2">
        <v>1</v>
      </c>
      <c r="AH23" s="2">
        <v>0</v>
      </c>
      <c r="AI23" s="2">
        <v>0</v>
      </c>
      <c r="AJ23" s="2">
        <v>1</v>
      </c>
      <c r="AK23" s="2">
        <v>0</v>
      </c>
      <c r="AL23">
        <f t="shared" si="6"/>
        <v>0</v>
      </c>
      <c r="AM23" t="s">
        <v>6</v>
      </c>
      <c r="AN23" t="s">
        <v>269</v>
      </c>
    </row>
    <row r="24" spans="1:40" x14ac:dyDescent="0.35">
      <c r="A24">
        <v>46</v>
      </c>
      <c r="B24" t="s">
        <v>16</v>
      </c>
      <c r="C24">
        <v>1.61</v>
      </c>
      <c r="D24" s="2">
        <v>7</v>
      </c>
      <c r="E24" t="s">
        <v>52</v>
      </c>
      <c r="F24" t="s">
        <v>56</v>
      </c>
      <c r="G24" t="s">
        <v>166</v>
      </c>
      <c r="H24">
        <v>0</v>
      </c>
      <c r="I24" s="13">
        <v>0.25</v>
      </c>
      <c r="J24">
        <v>2</v>
      </c>
      <c r="K24" s="2">
        <v>6</v>
      </c>
      <c r="L24">
        <v>6</v>
      </c>
      <c r="M24" s="2">
        <f t="shared" si="0"/>
        <v>0</v>
      </c>
      <c r="N24">
        <v>7</v>
      </c>
      <c r="O24">
        <v>7</v>
      </c>
      <c r="P24">
        <f t="shared" si="1"/>
        <v>0</v>
      </c>
      <c r="Q24">
        <v>3</v>
      </c>
      <c r="R24">
        <v>3</v>
      </c>
      <c r="S24">
        <f t="shared" si="2"/>
        <v>0</v>
      </c>
      <c r="T24">
        <v>5</v>
      </c>
      <c r="U24">
        <v>5</v>
      </c>
      <c r="V24">
        <f t="shared" si="3"/>
        <v>0</v>
      </c>
      <c r="W24">
        <v>0</v>
      </c>
      <c r="X24">
        <v>0</v>
      </c>
      <c r="Y24">
        <f t="shared" si="4"/>
        <v>0</v>
      </c>
      <c r="Z24" s="2">
        <v>0</v>
      </c>
      <c r="AA24" s="5">
        <v>1</v>
      </c>
      <c r="AB24" s="5">
        <v>0</v>
      </c>
      <c r="AC24">
        <f t="shared" si="5"/>
        <v>1</v>
      </c>
      <c r="AD24" s="2">
        <v>1</v>
      </c>
      <c r="AE24" s="2">
        <v>0</v>
      </c>
      <c r="AF24" s="2">
        <v>0</v>
      </c>
      <c r="AG24" s="2">
        <v>1</v>
      </c>
      <c r="AH24" s="2">
        <v>0</v>
      </c>
      <c r="AI24" s="2">
        <v>0</v>
      </c>
      <c r="AJ24" s="2">
        <v>1</v>
      </c>
      <c r="AK24" s="2">
        <v>0</v>
      </c>
      <c r="AL24">
        <f t="shared" si="6"/>
        <v>0</v>
      </c>
      <c r="AM24" t="s">
        <v>136</v>
      </c>
      <c r="AN24" t="s">
        <v>270</v>
      </c>
    </row>
    <row r="25" spans="1:40" x14ac:dyDescent="0.35">
      <c r="A25">
        <v>48</v>
      </c>
      <c r="B25" t="s">
        <v>18</v>
      </c>
      <c r="C25">
        <v>-0.04</v>
      </c>
      <c r="D25" s="2">
        <v>56</v>
      </c>
      <c r="E25" t="s">
        <v>160</v>
      </c>
      <c r="F25" t="s">
        <v>55</v>
      </c>
      <c r="G25" t="s">
        <v>167</v>
      </c>
      <c r="H25">
        <v>0</v>
      </c>
      <c r="I25" s="13">
        <v>0.25</v>
      </c>
      <c r="J25">
        <v>1</v>
      </c>
      <c r="K25" s="2">
        <v>3</v>
      </c>
      <c r="L25">
        <v>3</v>
      </c>
      <c r="M25" s="2">
        <f t="shared" si="0"/>
        <v>0</v>
      </c>
      <c r="N25">
        <v>6</v>
      </c>
      <c r="O25">
        <v>5</v>
      </c>
      <c r="P25">
        <f t="shared" si="1"/>
        <v>-1</v>
      </c>
      <c r="Q25">
        <v>2</v>
      </c>
      <c r="R25">
        <v>2</v>
      </c>
      <c r="S25">
        <f t="shared" si="2"/>
        <v>0</v>
      </c>
      <c r="T25">
        <v>1</v>
      </c>
      <c r="U25">
        <v>1</v>
      </c>
      <c r="V25">
        <f t="shared" si="3"/>
        <v>0</v>
      </c>
      <c r="W25">
        <v>1</v>
      </c>
      <c r="X25">
        <v>1</v>
      </c>
      <c r="Y25">
        <f t="shared" si="4"/>
        <v>0</v>
      </c>
      <c r="Z25" s="2">
        <v>0</v>
      </c>
      <c r="AA25" s="2">
        <v>0</v>
      </c>
      <c r="AB25" s="2">
        <v>0</v>
      </c>
      <c r="AC25">
        <f t="shared" si="5"/>
        <v>0</v>
      </c>
      <c r="AD25" s="2">
        <v>0</v>
      </c>
      <c r="AE25" s="2">
        <v>0</v>
      </c>
      <c r="AF25" s="2">
        <v>0</v>
      </c>
      <c r="AG25" s="2">
        <v>1</v>
      </c>
      <c r="AH25" s="2">
        <v>0</v>
      </c>
      <c r="AI25" s="2">
        <v>0</v>
      </c>
      <c r="AJ25" s="2">
        <v>0</v>
      </c>
      <c r="AK25" s="2">
        <v>0</v>
      </c>
      <c r="AL25">
        <f t="shared" si="6"/>
        <v>0</v>
      </c>
      <c r="AM25" t="s">
        <v>140</v>
      </c>
      <c r="AN25" t="s">
        <v>271</v>
      </c>
    </row>
    <row r="26" spans="1:40" x14ac:dyDescent="0.35">
      <c r="A26">
        <v>49</v>
      </c>
      <c r="B26" t="s">
        <v>16</v>
      </c>
      <c r="C26">
        <v>1.61</v>
      </c>
      <c r="D26" s="5">
        <v>7</v>
      </c>
      <c r="E26" t="s">
        <v>52</v>
      </c>
      <c r="F26" t="s">
        <v>55</v>
      </c>
      <c r="G26" t="s">
        <v>166</v>
      </c>
      <c r="H26">
        <v>0</v>
      </c>
      <c r="I26" s="13">
        <v>0.75</v>
      </c>
      <c r="J26">
        <v>2</v>
      </c>
      <c r="K26" s="2">
        <v>3</v>
      </c>
      <c r="L26">
        <v>3</v>
      </c>
      <c r="M26" s="2">
        <f t="shared" si="0"/>
        <v>0</v>
      </c>
      <c r="N26">
        <v>7</v>
      </c>
      <c r="O26">
        <v>6</v>
      </c>
      <c r="P26">
        <f t="shared" si="1"/>
        <v>-1</v>
      </c>
      <c r="Q26">
        <v>1</v>
      </c>
      <c r="R26">
        <v>1</v>
      </c>
      <c r="S26">
        <f t="shared" si="2"/>
        <v>0</v>
      </c>
      <c r="T26">
        <v>1</v>
      </c>
      <c r="U26">
        <v>2</v>
      </c>
      <c r="V26">
        <f t="shared" si="3"/>
        <v>1</v>
      </c>
      <c r="W26">
        <v>1</v>
      </c>
      <c r="X26">
        <v>1</v>
      </c>
      <c r="Y26">
        <f t="shared" si="4"/>
        <v>0</v>
      </c>
      <c r="Z26" s="2">
        <v>0</v>
      </c>
      <c r="AA26" s="5">
        <v>0</v>
      </c>
      <c r="AB26" s="5">
        <v>0</v>
      </c>
      <c r="AC26">
        <f t="shared" si="5"/>
        <v>0</v>
      </c>
      <c r="AD26" s="2">
        <v>0</v>
      </c>
      <c r="AE26" s="2">
        <v>1</v>
      </c>
      <c r="AF26" s="2">
        <v>0</v>
      </c>
      <c r="AG26" s="2">
        <v>1</v>
      </c>
      <c r="AH26" s="2">
        <v>0</v>
      </c>
      <c r="AI26" s="2">
        <v>0</v>
      </c>
      <c r="AJ26" s="2">
        <v>0</v>
      </c>
      <c r="AK26" s="2">
        <v>0</v>
      </c>
      <c r="AL26">
        <f t="shared" si="6"/>
        <v>0</v>
      </c>
      <c r="AM26" s="9" t="s">
        <v>39</v>
      </c>
      <c r="AN26" t="s">
        <v>270</v>
      </c>
    </row>
    <row r="27" spans="1:40" x14ac:dyDescent="0.35">
      <c r="A27">
        <v>51</v>
      </c>
      <c r="B27" t="s">
        <v>16</v>
      </c>
      <c r="C27">
        <v>1.61</v>
      </c>
      <c r="D27" s="2">
        <v>145</v>
      </c>
      <c r="E27" t="s">
        <v>52</v>
      </c>
      <c r="F27" t="s">
        <v>55</v>
      </c>
      <c r="G27" t="s">
        <v>166</v>
      </c>
      <c r="H27">
        <v>0</v>
      </c>
      <c r="I27" s="13">
        <v>1</v>
      </c>
      <c r="J27">
        <v>2</v>
      </c>
      <c r="K27" s="2">
        <v>5</v>
      </c>
      <c r="L27">
        <v>4</v>
      </c>
      <c r="M27" s="2">
        <f t="shared" si="0"/>
        <v>-1</v>
      </c>
      <c r="N27">
        <v>8</v>
      </c>
      <c r="O27">
        <v>5</v>
      </c>
      <c r="P27">
        <f t="shared" si="1"/>
        <v>-3</v>
      </c>
      <c r="Q27">
        <v>2</v>
      </c>
      <c r="R27">
        <v>2</v>
      </c>
      <c r="S27">
        <f t="shared" si="2"/>
        <v>0</v>
      </c>
      <c r="T27">
        <v>2</v>
      </c>
      <c r="U27">
        <v>3</v>
      </c>
      <c r="V27">
        <f t="shared" si="3"/>
        <v>1</v>
      </c>
      <c r="W27">
        <v>1</v>
      </c>
      <c r="X27">
        <v>2</v>
      </c>
      <c r="Y27">
        <f t="shared" si="4"/>
        <v>1</v>
      </c>
      <c r="Z27" s="2">
        <v>0</v>
      </c>
      <c r="AA27" s="5">
        <v>1</v>
      </c>
      <c r="AB27" s="5">
        <v>1</v>
      </c>
      <c r="AC27">
        <f t="shared" si="5"/>
        <v>1</v>
      </c>
      <c r="AD27" s="2">
        <v>1</v>
      </c>
      <c r="AE27" s="2">
        <v>1</v>
      </c>
      <c r="AF27" s="2">
        <v>0</v>
      </c>
      <c r="AG27" s="2">
        <v>1</v>
      </c>
      <c r="AH27" s="2">
        <v>0</v>
      </c>
      <c r="AI27" s="2">
        <v>0</v>
      </c>
      <c r="AJ27" s="2">
        <v>1</v>
      </c>
      <c r="AK27" s="2">
        <v>0</v>
      </c>
      <c r="AL27">
        <f t="shared" si="6"/>
        <v>0</v>
      </c>
      <c r="AM27" t="s">
        <v>136</v>
      </c>
      <c r="AN27" t="s">
        <v>270</v>
      </c>
    </row>
    <row r="28" spans="1:40" x14ac:dyDescent="0.35">
      <c r="A28">
        <v>53</v>
      </c>
      <c r="B28" t="s">
        <v>18</v>
      </c>
      <c r="C28">
        <v>-0.04</v>
      </c>
      <c r="D28" s="2">
        <v>60</v>
      </c>
      <c r="E28" t="s">
        <v>160</v>
      </c>
      <c r="F28" t="s">
        <v>55</v>
      </c>
      <c r="G28" t="s">
        <v>166</v>
      </c>
      <c r="H28">
        <v>0</v>
      </c>
      <c r="I28" s="13">
        <v>0.75</v>
      </c>
      <c r="J28">
        <v>1</v>
      </c>
      <c r="K28" s="2">
        <v>8</v>
      </c>
      <c r="L28">
        <v>8</v>
      </c>
      <c r="M28" s="2">
        <f t="shared" si="0"/>
        <v>0</v>
      </c>
      <c r="N28">
        <v>6</v>
      </c>
      <c r="O28">
        <v>6</v>
      </c>
      <c r="P28">
        <f t="shared" si="1"/>
        <v>0</v>
      </c>
      <c r="Q28">
        <v>3</v>
      </c>
      <c r="R28">
        <v>3</v>
      </c>
      <c r="S28">
        <f t="shared" si="2"/>
        <v>0</v>
      </c>
      <c r="T28">
        <v>1</v>
      </c>
      <c r="U28">
        <v>2</v>
      </c>
      <c r="V28">
        <f t="shared" si="3"/>
        <v>1</v>
      </c>
      <c r="W28">
        <v>1</v>
      </c>
      <c r="X28">
        <v>1</v>
      </c>
      <c r="Y28">
        <f t="shared" si="4"/>
        <v>0</v>
      </c>
      <c r="Z28" s="2">
        <v>0</v>
      </c>
      <c r="AA28" s="2">
        <v>1</v>
      </c>
      <c r="AB28" s="2">
        <v>0</v>
      </c>
      <c r="AC28">
        <f t="shared" si="5"/>
        <v>1</v>
      </c>
      <c r="AD28" s="2">
        <v>0</v>
      </c>
      <c r="AE28" s="2">
        <v>1</v>
      </c>
      <c r="AF28" s="2">
        <v>0</v>
      </c>
      <c r="AG28" s="2">
        <v>1</v>
      </c>
      <c r="AH28" s="2">
        <v>0</v>
      </c>
      <c r="AI28" s="2">
        <v>0</v>
      </c>
      <c r="AJ28" s="2">
        <v>1</v>
      </c>
      <c r="AK28" s="2">
        <v>1</v>
      </c>
      <c r="AL28">
        <f t="shared" si="6"/>
        <v>0</v>
      </c>
      <c r="AM28" t="s">
        <v>136</v>
      </c>
      <c r="AN28" t="s">
        <v>270</v>
      </c>
    </row>
    <row r="29" spans="1:40" x14ac:dyDescent="0.35">
      <c r="A29">
        <v>54</v>
      </c>
      <c r="B29" t="s">
        <v>18</v>
      </c>
      <c r="C29">
        <v>-0.04</v>
      </c>
      <c r="D29" s="2">
        <v>60</v>
      </c>
      <c r="E29" t="s">
        <v>160</v>
      </c>
      <c r="F29" t="s">
        <v>53</v>
      </c>
      <c r="G29" t="s">
        <v>166</v>
      </c>
      <c r="H29">
        <v>0</v>
      </c>
      <c r="I29" s="13">
        <v>1</v>
      </c>
      <c r="J29">
        <v>1</v>
      </c>
      <c r="K29" s="2">
        <v>5</v>
      </c>
      <c r="L29">
        <v>5</v>
      </c>
      <c r="M29" s="2">
        <f t="shared" si="0"/>
        <v>0</v>
      </c>
      <c r="N29">
        <v>8</v>
      </c>
      <c r="O29">
        <v>4</v>
      </c>
      <c r="P29">
        <f t="shared" si="1"/>
        <v>-4</v>
      </c>
      <c r="Q29">
        <v>2</v>
      </c>
      <c r="R29">
        <v>2</v>
      </c>
      <c r="S29">
        <f t="shared" si="2"/>
        <v>0</v>
      </c>
      <c r="T29">
        <v>3</v>
      </c>
      <c r="U29">
        <v>1</v>
      </c>
      <c r="V29">
        <f t="shared" si="3"/>
        <v>-2</v>
      </c>
      <c r="W29">
        <v>0</v>
      </c>
      <c r="X29">
        <v>0</v>
      </c>
      <c r="Y29">
        <f t="shared" si="4"/>
        <v>0</v>
      </c>
      <c r="Z29" s="2">
        <v>0</v>
      </c>
      <c r="AA29" s="2">
        <v>0</v>
      </c>
      <c r="AB29" s="2">
        <v>0</v>
      </c>
      <c r="AC29">
        <f t="shared" si="5"/>
        <v>0</v>
      </c>
      <c r="AD29" s="2">
        <v>0</v>
      </c>
      <c r="AE29" s="2">
        <v>1</v>
      </c>
      <c r="AF29" s="2">
        <v>0</v>
      </c>
      <c r="AG29" s="2">
        <v>1</v>
      </c>
      <c r="AH29" s="2">
        <v>0</v>
      </c>
      <c r="AI29" s="2">
        <v>0</v>
      </c>
      <c r="AJ29" s="2">
        <v>1</v>
      </c>
      <c r="AK29" s="2">
        <v>0</v>
      </c>
      <c r="AL29">
        <f t="shared" si="6"/>
        <v>0</v>
      </c>
      <c r="AM29" t="s">
        <v>6</v>
      </c>
      <c r="AN29" t="s">
        <v>269</v>
      </c>
    </row>
    <row r="30" spans="1:40" x14ac:dyDescent="0.35">
      <c r="A30">
        <v>55</v>
      </c>
      <c r="B30" t="s">
        <v>16</v>
      </c>
      <c r="C30">
        <v>1.61</v>
      </c>
      <c r="D30" s="2">
        <v>6</v>
      </c>
      <c r="E30" t="s">
        <v>52</v>
      </c>
      <c r="F30" t="s">
        <v>55</v>
      </c>
      <c r="G30" t="s">
        <v>166</v>
      </c>
      <c r="H30">
        <v>0</v>
      </c>
      <c r="I30" s="13">
        <v>0.25</v>
      </c>
      <c r="J30">
        <v>2</v>
      </c>
      <c r="K30" s="2">
        <v>11</v>
      </c>
      <c r="L30">
        <v>12</v>
      </c>
      <c r="M30" s="2">
        <f t="shared" si="0"/>
        <v>1</v>
      </c>
      <c r="N30">
        <v>7</v>
      </c>
      <c r="O30">
        <v>7</v>
      </c>
      <c r="P30">
        <f t="shared" si="1"/>
        <v>0</v>
      </c>
      <c r="Q30">
        <v>3</v>
      </c>
      <c r="R30">
        <v>3</v>
      </c>
      <c r="S30">
        <f t="shared" si="2"/>
        <v>0</v>
      </c>
      <c r="T30">
        <v>2</v>
      </c>
      <c r="U30">
        <v>2</v>
      </c>
      <c r="V30">
        <f t="shared" si="3"/>
        <v>0</v>
      </c>
      <c r="W30">
        <v>1</v>
      </c>
      <c r="X30">
        <v>0</v>
      </c>
      <c r="Y30">
        <f t="shared" si="4"/>
        <v>-1</v>
      </c>
      <c r="Z30" s="2">
        <v>0</v>
      </c>
      <c r="AA30" s="5">
        <v>0</v>
      </c>
      <c r="AB30" s="5">
        <v>0</v>
      </c>
      <c r="AC30">
        <f t="shared" si="5"/>
        <v>0</v>
      </c>
      <c r="AD30" s="2">
        <v>0</v>
      </c>
      <c r="AE30" s="2">
        <v>0</v>
      </c>
      <c r="AF30" s="2">
        <v>0</v>
      </c>
      <c r="AG30" s="2">
        <v>0</v>
      </c>
      <c r="AH30" s="2">
        <v>0</v>
      </c>
      <c r="AI30" s="2">
        <v>0</v>
      </c>
      <c r="AJ30" s="2">
        <v>1</v>
      </c>
      <c r="AK30" s="2">
        <v>0</v>
      </c>
      <c r="AL30">
        <f t="shared" si="6"/>
        <v>0</v>
      </c>
      <c r="AM30" t="s">
        <v>140</v>
      </c>
      <c r="AN30" t="s">
        <v>271</v>
      </c>
    </row>
    <row r="31" spans="1:40" x14ac:dyDescent="0.35">
      <c r="A31">
        <v>57</v>
      </c>
      <c r="B31" t="s">
        <v>16</v>
      </c>
      <c r="C31">
        <v>1.61</v>
      </c>
      <c r="D31" s="2">
        <v>145</v>
      </c>
      <c r="E31" t="s">
        <v>52</v>
      </c>
      <c r="F31" t="s">
        <v>55</v>
      </c>
      <c r="G31" t="s">
        <v>167</v>
      </c>
      <c r="H31">
        <v>0</v>
      </c>
      <c r="I31" s="13">
        <v>0.25</v>
      </c>
      <c r="J31">
        <v>2</v>
      </c>
      <c r="K31" s="2">
        <v>4</v>
      </c>
      <c r="L31">
        <v>4</v>
      </c>
      <c r="M31" s="2">
        <f t="shared" si="0"/>
        <v>0</v>
      </c>
      <c r="N31">
        <v>8</v>
      </c>
      <c r="O31">
        <v>2</v>
      </c>
      <c r="P31">
        <f t="shared" si="1"/>
        <v>-6</v>
      </c>
      <c r="Q31">
        <v>2</v>
      </c>
      <c r="R31">
        <v>2</v>
      </c>
      <c r="S31">
        <f t="shared" si="2"/>
        <v>0</v>
      </c>
      <c r="T31">
        <v>4</v>
      </c>
      <c r="U31">
        <v>2</v>
      </c>
      <c r="V31">
        <f t="shared" si="3"/>
        <v>-2</v>
      </c>
      <c r="W31">
        <v>1</v>
      </c>
      <c r="X31">
        <v>1</v>
      </c>
      <c r="Y31">
        <f t="shared" si="4"/>
        <v>0</v>
      </c>
      <c r="Z31" s="2">
        <v>0</v>
      </c>
      <c r="AA31" s="5">
        <v>1</v>
      </c>
      <c r="AB31" s="5">
        <v>1</v>
      </c>
      <c r="AC31">
        <f t="shared" si="5"/>
        <v>1</v>
      </c>
      <c r="AD31" s="2">
        <v>1</v>
      </c>
      <c r="AE31" s="2">
        <v>0</v>
      </c>
      <c r="AF31" s="2">
        <v>0</v>
      </c>
      <c r="AG31" s="2">
        <v>0</v>
      </c>
      <c r="AH31" s="2">
        <v>0</v>
      </c>
      <c r="AI31" s="2">
        <v>0</v>
      </c>
      <c r="AJ31" s="2">
        <v>1</v>
      </c>
      <c r="AK31" s="2">
        <v>1</v>
      </c>
      <c r="AL31">
        <f t="shared" si="6"/>
        <v>0</v>
      </c>
      <c r="AM31" t="s">
        <v>137</v>
      </c>
      <c r="AN31" t="s">
        <v>270</v>
      </c>
    </row>
    <row r="32" spans="1:40" x14ac:dyDescent="0.35">
      <c r="A32">
        <v>61</v>
      </c>
      <c r="B32" t="s">
        <v>165</v>
      </c>
      <c r="C32">
        <v>1.47</v>
      </c>
      <c r="D32" s="2">
        <v>38</v>
      </c>
      <c r="E32" t="s">
        <v>162</v>
      </c>
      <c r="F32" t="s">
        <v>53</v>
      </c>
      <c r="G32" t="s">
        <v>166</v>
      </c>
      <c r="H32">
        <v>0</v>
      </c>
      <c r="I32" s="13">
        <v>1</v>
      </c>
      <c r="J32">
        <v>2</v>
      </c>
      <c r="K32" s="2">
        <v>3</v>
      </c>
      <c r="L32">
        <v>3</v>
      </c>
      <c r="M32" s="2">
        <f t="shared" si="0"/>
        <v>0</v>
      </c>
      <c r="N32">
        <v>5</v>
      </c>
      <c r="O32">
        <v>6</v>
      </c>
      <c r="P32">
        <f t="shared" si="1"/>
        <v>1</v>
      </c>
      <c r="Q32">
        <v>2</v>
      </c>
      <c r="R32">
        <v>2</v>
      </c>
      <c r="S32">
        <f t="shared" si="2"/>
        <v>0</v>
      </c>
      <c r="T32">
        <v>3</v>
      </c>
      <c r="U32">
        <v>3</v>
      </c>
      <c r="V32">
        <f t="shared" si="3"/>
        <v>0</v>
      </c>
      <c r="W32">
        <v>1</v>
      </c>
      <c r="X32">
        <v>1</v>
      </c>
      <c r="Y32">
        <f t="shared" si="4"/>
        <v>0</v>
      </c>
      <c r="Z32" s="2">
        <v>0</v>
      </c>
      <c r="AA32" s="2">
        <v>0</v>
      </c>
      <c r="AB32" s="2">
        <v>0</v>
      </c>
      <c r="AC32">
        <f t="shared" si="5"/>
        <v>0</v>
      </c>
      <c r="AD32" s="2">
        <v>0</v>
      </c>
      <c r="AE32" s="2">
        <v>0</v>
      </c>
      <c r="AF32" s="2">
        <v>0</v>
      </c>
      <c r="AG32" s="2">
        <v>0</v>
      </c>
      <c r="AH32" s="2">
        <v>0</v>
      </c>
      <c r="AI32" s="2">
        <v>0</v>
      </c>
      <c r="AJ32" s="2">
        <v>0</v>
      </c>
      <c r="AK32" s="2">
        <v>0</v>
      </c>
      <c r="AL32">
        <f t="shared" si="6"/>
        <v>1</v>
      </c>
      <c r="AM32" t="s">
        <v>140</v>
      </c>
      <c r="AN32" t="s">
        <v>271</v>
      </c>
    </row>
    <row r="33" spans="1:40" x14ac:dyDescent="0.35">
      <c r="A33">
        <v>63</v>
      </c>
      <c r="B33" t="s">
        <v>18</v>
      </c>
      <c r="C33">
        <v>-0.04</v>
      </c>
      <c r="D33" s="2">
        <v>87</v>
      </c>
      <c r="E33" t="s">
        <v>160</v>
      </c>
      <c r="F33" t="s">
        <v>53</v>
      </c>
      <c r="G33" t="s">
        <v>166</v>
      </c>
      <c r="H33">
        <v>0</v>
      </c>
      <c r="I33" s="13">
        <v>0.75</v>
      </c>
      <c r="J33">
        <v>1</v>
      </c>
      <c r="K33" s="2">
        <v>4</v>
      </c>
      <c r="L33">
        <v>4</v>
      </c>
      <c r="M33" s="2">
        <f t="shared" si="0"/>
        <v>0</v>
      </c>
      <c r="N33">
        <v>3</v>
      </c>
      <c r="O33">
        <v>2</v>
      </c>
      <c r="P33">
        <f t="shared" si="1"/>
        <v>-1</v>
      </c>
      <c r="Q33">
        <v>2</v>
      </c>
      <c r="R33">
        <v>1</v>
      </c>
      <c r="S33">
        <f t="shared" si="2"/>
        <v>-1</v>
      </c>
      <c r="T33">
        <v>1</v>
      </c>
      <c r="U33">
        <v>2</v>
      </c>
      <c r="V33">
        <f t="shared" si="3"/>
        <v>1</v>
      </c>
      <c r="W33">
        <v>1</v>
      </c>
      <c r="X33">
        <v>1</v>
      </c>
      <c r="Y33">
        <f t="shared" si="4"/>
        <v>0</v>
      </c>
      <c r="Z33" s="2">
        <v>0</v>
      </c>
      <c r="AA33" s="2">
        <v>1</v>
      </c>
      <c r="AB33" s="2">
        <v>0</v>
      </c>
      <c r="AC33">
        <f t="shared" si="5"/>
        <v>1</v>
      </c>
      <c r="AD33" s="2">
        <v>0</v>
      </c>
      <c r="AE33" s="2">
        <v>1</v>
      </c>
      <c r="AF33" s="2">
        <v>0</v>
      </c>
      <c r="AG33" s="2">
        <v>1</v>
      </c>
      <c r="AH33" s="2">
        <v>0</v>
      </c>
      <c r="AI33" s="2">
        <v>0</v>
      </c>
      <c r="AJ33" s="2">
        <v>1</v>
      </c>
      <c r="AK33" s="2">
        <v>0</v>
      </c>
      <c r="AL33">
        <f t="shared" si="6"/>
        <v>0</v>
      </c>
      <c r="AM33" t="s">
        <v>136</v>
      </c>
      <c r="AN33" t="s">
        <v>270</v>
      </c>
    </row>
    <row r="34" spans="1:40" x14ac:dyDescent="0.35">
      <c r="A34">
        <v>64</v>
      </c>
      <c r="B34" t="s">
        <v>16</v>
      </c>
      <c r="C34">
        <v>1.61</v>
      </c>
      <c r="D34" s="2">
        <v>7</v>
      </c>
      <c r="E34" t="s">
        <v>52</v>
      </c>
      <c r="F34" t="s">
        <v>56</v>
      </c>
      <c r="G34" t="s">
        <v>166</v>
      </c>
      <c r="H34">
        <v>0</v>
      </c>
      <c r="I34" s="13">
        <v>0.25</v>
      </c>
      <c r="J34">
        <v>2</v>
      </c>
      <c r="K34" s="2">
        <v>9</v>
      </c>
      <c r="L34">
        <v>9</v>
      </c>
      <c r="M34" s="2">
        <f t="shared" si="0"/>
        <v>0</v>
      </c>
      <c r="N34">
        <v>7</v>
      </c>
      <c r="O34">
        <v>7</v>
      </c>
      <c r="P34">
        <f t="shared" si="1"/>
        <v>0</v>
      </c>
      <c r="Q34">
        <v>3</v>
      </c>
      <c r="R34">
        <v>3</v>
      </c>
      <c r="S34">
        <f t="shared" si="2"/>
        <v>0</v>
      </c>
      <c r="T34">
        <v>3</v>
      </c>
      <c r="U34">
        <v>1</v>
      </c>
      <c r="V34">
        <f t="shared" si="3"/>
        <v>-2</v>
      </c>
      <c r="W34">
        <v>1</v>
      </c>
      <c r="X34">
        <v>1</v>
      </c>
      <c r="Y34">
        <f t="shared" si="4"/>
        <v>0</v>
      </c>
      <c r="Z34" s="2">
        <v>0</v>
      </c>
      <c r="AA34" s="5">
        <v>0</v>
      </c>
      <c r="AB34" s="5">
        <v>0</v>
      </c>
      <c r="AC34">
        <f t="shared" si="5"/>
        <v>0</v>
      </c>
      <c r="AD34" s="2">
        <v>0</v>
      </c>
      <c r="AE34" s="2">
        <v>0</v>
      </c>
      <c r="AF34" s="2">
        <v>0</v>
      </c>
      <c r="AG34" s="2">
        <v>0</v>
      </c>
      <c r="AH34" s="2">
        <v>0</v>
      </c>
      <c r="AI34" s="2">
        <v>0</v>
      </c>
      <c r="AJ34" s="2">
        <v>0</v>
      </c>
      <c r="AK34" s="2">
        <v>0</v>
      </c>
      <c r="AL34">
        <f t="shared" si="6"/>
        <v>1</v>
      </c>
      <c r="AM34" t="s">
        <v>140</v>
      </c>
      <c r="AN34" t="s">
        <v>271</v>
      </c>
    </row>
    <row r="35" spans="1:40" x14ac:dyDescent="0.35">
      <c r="A35">
        <v>65</v>
      </c>
      <c r="B35" t="s">
        <v>164</v>
      </c>
      <c r="C35">
        <v>0.44</v>
      </c>
      <c r="D35" s="2">
        <v>5</v>
      </c>
      <c r="E35" t="s">
        <v>162</v>
      </c>
      <c r="F35" t="s">
        <v>56</v>
      </c>
      <c r="G35" t="s">
        <v>166</v>
      </c>
      <c r="H35">
        <v>0</v>
      </c>
      <c r="I35" s="13">
        <v>0.25</v>
      </c>
      <c r="J35">
        <v>2</v>
      </c>
      <c r="K35" s="2">
        <v>4</v>
      </c>
      <c r="L35">
        <v>5</v>
      </c>
      <c r="M35" s="2">
        <f t="shared" si="0"/>
        <v>1</v>
      </c>
      <c r="N35">
        <v>7</v>
      </c>
      <c r="O35">
        <v>6</v>
      </c>
      <c r="P35">
        <f t="shared" si="1"/>
        <v>-1</v>
      </c>
      <c r="Q35">
        <v>1</v>
      </c>
      <c r="R35">
        <v>1</v>
      </c>
      <c r="S35">
        <f t="shared" si="2"/>
        <v>0</v>
      </c>
      <c r="T35">
        <v>2</v>
      </c>
      <c r="U35">
        <v>2</v>
      </c>
      <c r="V35">
        <f t="shared" si="3"/>
        <v>0</v>
      </c>
      <c r="W35">
        <v>1</v>
      </c>
      <c r="X35">
        <v>2</v>
      </c>
      <c r="Y35">
        <f t="shared" si="4"/>
        <v>1</v>
      </c>
      <c r="Z35" s="2">
        <v>0</v>
      </c>
      <c r="AA35" s="2">
        <v>1</v>
      </c>
      <c r="AB35" s="2">
        <v>1</v>
      </c>
      <c r="AC35">
        <f t="shared" si="5"/>
        <v>1</v>
      </c>
      <c r="AD35" s="2">
        <v>0</v>
      </c>
      <c r="AE35" s="2">
        <v>1</v>
      </c>
      <c r="AF35" s="2">
        <v>0</v>
      </c>
      <c r="AG35" s="2">
        <v>1</v>
      </c>
      <c r="AH35" s="2">
        <v>1</v>
      </c>
      <c r="AI35" s="2">
        <v>0</v>
      </c>
      <c r="AJ35" s="2">
        <v>1</v>
      </c>
      <c r="AK35" s="2">
        <v>0</v>
      </c>
      <c r="AL35">
        <f t="shared" si="6"/>
        <v>0</v>
      </c>
      <c r="AM35" t="s">
        <v>137</v>
      </c>
      <c r="AN35" t="s">
        <v>270</v>
      </c>
    </row>
    <row r="36" spans="1:40" x14ac:dyDescent="0.35">
      <c r="A36">
        <v>66</v>
      </c>
      <c r="B36" t="s">
        <v>18</v>
      </c>
      <c r="C36">
        <v>-0.04</v>
      </c>
      <c r="D36" s="2">
        <v>40</v>
      </c>
      <c r="E36" t="s">
        <v>162</v>
      </c>
      <c r="F36" t="s">
        <v>53</v>
      </c>
      <c r="G36" t="s">
        <v>166</v>
      </c>
      <c r="H36">
        <v>0</v>
      </c>
      <c r="I36" s="13">
        <v>0.25</v>
      </c>
      <c r="J36">
        <v>1</v>
      </c>
      <c r="K36" s="2">
        <v>8</v>
      </c>
      <c r="L36">
        <v>10</v>
      </c>
      <c r="M36" s="2">
        <f t="shared" si="0"/>
        <v>2</v>
      </c>
      <c r="N36">
        <v>8</v>
      </c>
      <c r="O36">
        <v>8</v>
      </c>
      <c r="P36">
        <f t="shared" si="1"/>
        <v>0</v>
      </c>
      <c r="Q36">
        <v>2</v>
      </c>
      <c r="R36">
        <v>2</v>
      </c>
      <c r="S36">
        <f t="shared" si="2"/>
        <v>0</v>
      </c>
      <c r="T36">
        <v>5</v>
      </c>
      <c r="U36">
        <v>5</v>
      </c>
      <c r="V36">
        <f t="shared" si="3"/>
        <v>0</v>
      </c>
      <c r="W36">
        <v>0</v>
      </c>
      <c r="X36">
        <v>0</v>
      </c>
      <c r="Y36">
        <f t="shared" si="4"/>
        <v>0</v>
      </c>
      <c r="Z36" s="2">
        <v>0</v>
      </c>
      <c r="AA36" s="2">
        <v>0</v>
      </c>
      <c r="AB36" s="2">
        <v>0</v>
      </c>
      <c r="AC36">
        <f t="shared" si="5"/>
        <v>0</v>
      </c>
      <c r="AD36" s="2">
        <v>0</v>
      </c>
      <c r="AE36" s="2">
        <v>1</v>
      </c>
      <c r="AF36" s="2">
        <v>0</v>
      </c>
      <c r="AG36" s="2">
        <v>1</v>
      </c>
      <c r="AH36" s="2">
        <v>0</v>
      </c>
      <c r="AI36" s="2">
        <v>1</v>
      </c>
      <c r="AJ36" s="2">
        <v>0</v>
      </c>
      <c r="AK36" s="2">
        <v>0</v>
      </c>
      <c r="AL36">
        <f t="shared" si="6"/>
        <v>0</v>
      </c>
      <c r="AM36" t="s">
        <v>140</v>
      </c>
      <c r="AN36" t="s">
        <v>271</v>
      </c>
    </row>
    <row r="37" spans="1:40" x14ac:dyDescent="0.35">
      <c r="A37">
        <v>67</v>
      </c>
      <c r="B37" t="s">
        <v>164</v>
      </c>
      <c r="C37">
        <v>0.44</v>
      </c>
      <c r="D37" s="2">
        <v>11</v>
      </c>
      <c r="E37" t="s">
        <v>61</v>
      </c>
      <c r="F37" t="s">
        <v>56</v>
      </c>
      <c r="G37" t="s">
        <v>166</v>
      </c>
      <c r="H37">
        <v>0</v>
      </c>
      <c r="I37" s="13">
        <v>0.25</v>
      </c>
      <c r="J37">
        <v>2</v>
      </c>
      <c r="K37" s="2">
        <v>5</v>
      </c>
      <c r="L37">
        <v>5</v>
      </c>
      <c r="M37" s="2">
        <f t="shared" si="0"/>
        <v>0</v>
      </c>
      <c r="N37">
        <v>1</v>
      </c>
      <c r="O37">
        <v>1</v>
      </c>
      <c r="P37">
        <f t="shared" si="1"/>
        <v>0</v>
      </c>
      <c r="Q37">
        <v>1</v>
      </c>
      <c r="R37">
        <v>1</v>
      </c>
      <c r="S37">
        <f t="shared" si="2"/>
        <v>0</v>
      </c>
      <c r="T37">
        <v>3</v>
      </c>
      <c r="U37">
        <v>1</v>
      </c>
      <c r="V37">
        <f t="shared" si="3"/>
        <v>-2</v>
      </c>
      <c r="W37">
        <v>0</v>
      </c>
      <c r="X37">
        <v>0</v>
      </c>
      <c r="Y37">
        <f t="shared" si="4"/>
        <v>0</v>
      </c>
      <c r="Z37" s="2">
        <v>0</v>
      </c>
      <c r="AA37" s="2">
        <v>1</v>
      </c>
      <c r="AB37" s="2">
        <v>1</v>
      </c>
      <c r="AC37">
        <f t="shared" si="5"/>
        <v>1</v>
      </c>
      <c r="AD37" s="2">
        <v>0</v>
      </c>
      <c r="AE37" s="2">
        <v>1</v>
      </c>
      <c r="AF37" s="2">
        <v>0</v>
      </c>
      <c r="AG37" s="2">
        <v>0</v>
      </c>
      <c r="AH37" s="2">
        <v>0</v>
      </c>
      <c r="AI37" s="2">
        <v>0</v>
      </c>
      <c r="AJ37" s="2">
        <v>0</v>
      </c>
      <c r="AK37" s="2">
        <v>0</v>
      </c>
      <c r="AL37">
        <f t="shared" si="6"/>
        <v>0</v>
      </c>
      <c r="AM37" t="s">
        <v>137</v>
      </c>
      <c r="AN37" t="s">
        <v>270</v>
      </c>
    </row>
    <row r="38" spans="1:40" x14ac:dyDescent="0.35">
      <c r="A38">
        <v>70</v>
      </c>
      <c r="B38" t="s">
        <v>16</v>
      </c>
      <c r="C38">
        <v>1.61</v>
      </c>
      <c r="D38" s="2">
        <v>7</v>
      </c>
      <c r="E38" t="s">
        <v>52</v>
      </c>
      <c r="F38" t="s">
        <v>55</v>
      </c>
      <c r="G38" t="s">
        <v>167</v>
      </c>
      <c r="H38">
        <v>0</v>
      </c>
      <c r="I38" s="13">
        <v>0.5</v>
      </c>
      <c r="J38">
        <v>2</v>
      </c>
      <c r="K38" s="2">
        <v>8</v>
      </c>
      <c r="L38">
        <v>8</v>
      </c>
      <c r="M38" s="2">
        <f t="shared" si="0"/>
        <v>0</v>
      </c>
      <c r="N38">
        <v>8</v>
      </c>
      <c r="O38">
        <v>8</v>
      </c>
      <c r="P38">
        <f t="shared" si="1"/>
        <v>0</v>
      </c>
      <c r="Q38">
        <v>3</v>
      </c>
      <c r="R38">
        <v>3</v>
      </c>
      <c r="S38">
        <f t="shared" si="2"/>
        <v>0</v>
      </c>
      <c r="T38">
        <v>3</v>
      </c>
      <c r="U38">
        <v>3</v>
      </c>
      <c r="V38">
        <f t="shared" si="3"/>
        <v>0</v>
      </c>
      <c r="W38">
        <v>1</v>
      </c>
      <c r="X38">
        <v>1</v>
      </c>
      <c r="Y38">
        <f t="shared" si="4"/>
        <v>0</v>
      </c>
      <c r="Z38" s="2">
        <v>0</v>
      </c>
      <c r="AA38" s="5">
        <v>1</v>
      </c>
      <c r="AB38" s="5">
        <v>1</v>
      </c>
      <c r="AC38">
        <f t="shared" si="5"/>
        <v>1</v>
      </c>
      <c r="AD38" s="2">
        <v>1</v>
      </c>
      <c r="AE38" s="2">
        <v>0</v>
      </c>
      <c r="AF38" s="2">
        <v>0</v>
      </c>
      <c r="AG38" s="2">
        <v>1</v>
      </c>
      <c r="AH38" s="2">
        <v>0</v>
      </c>
      <c r="AI38" s="2">
        <v>0</v>
      </c>
      <c r="AJ38" s="2">
        <v>1</v>
      </c>
      <c r="AK38" s="2">
        <v>1</v>
      </c>
      <c r="AL38">
        <f t="shared" si="6"/>
        <v>0</v>
      </c>
      <c r="AM38" t="s">
        <v>138</v>
      </c>
      <c r="AN38" t="s">
        <v>270</v>
      </c>
    </row>
    <row r="39" spans="1:40" x14ac:dyDescent="0.35">
      <c r="A39">
        <v>73</v>
      </c>
      <c r="B39" t="s">
        <v>16</v>
      </c>
      <c r="C39">
        <v>1.61</v>
      </c>
      <c r="D39" s="2">
        <v>8</v>
      </c>
      <c r="E39" t="s">
        <v>52</v>
      </c>
      <c r="F39" t="s">
        <v>53</v>
      </c>
      <c r="G39" t="s">
        <v>167</v>
      </c>
      <c r="H39">
        <v>0</v>
      </c>
      <c r="I39" s="13">
        <v>0.25</v>
      </c>
      <c r="J39">
        <v>2</v>
      </c>
      <c r="K39" s="2">
        <v>3</v>
      </c>
      <c r="L39">
        <v>1</v>
      </c>
      <c r="M39" s="2">
        <f t="shared" si="0"/>
        <v>-2</v>
      </c>
      <c r="N39">
        <v>9</v>
      </c>
      <c r="O39">
        <v>9</v>
      </c>
      <c r="P39">
        <f t="shared" si="1"/>
        <v>0</v>
      </c>
      <c r="Q39">
        <v>3</v>
      </c>
      <c r="R39">
        <v>3</v>
      </c>
      <c r="S39">
        <f t="shared" si="2"/>
        <v>0</v>
      </c>
      <c r="T39">
        <v>1</v>
      </c>
      <c r="U39">
        <v>1</v>
      </c>
      <c r="V39">
        <f t="shared" si="3"/>
        <v>0</v>
      </c>
      <c r="W39">
        <v>1</v>
      </c>
      <c r="X39">
        <v>1</v>
      </c>
      <c r="Y39">
        <f t="shared" si="4"/>
        <v>0</v>
      </c>
      <c r="Z39" s="2">
        <v>0</v>
      </c>
      <c r="AA39" s="5">
        <v>1</v>
      </c>
      <c r="AB39" s="5">
        <v>0</v>
      </c>
      <c r="AC39">
        <f t="shared" si="5"/>
        <v>1</v>
      </c>
      <c r="AD39" s="2">
        <v>0</v>
      </c>
      <c r="AE39" s="2">
        <v>0</v>
      </c>
      <c r="AF39" s="2">
        <v>0</v>
      </c>
      <c r="AG39" s="2">
        <v>1</v>
      </c>
      <c r="AH39" s="2">
        <v>0</v>
      </c>
      <c r="AI39" s="2">
        <v>0</v>
      </c>
      <c r="AJ39" s="2">
        <v>0</v>
      </c>
      <c r="AK39" s="2">
        <v>0</v>
      </c>
      <c r="AL39">
        <f t="shared" si="6"/>
        <v>0</v>
      </c>
      <c r="AM39" t="s">
        <v>136</v>
      </c>
      <c r="AN39" t="s">
        <v>270</v>
      </c>
    </row>
    <row r="40" spans="1:40" x14ac:dyDescent="0.35">
      <c r="A40">
        <v>75</v>
      </c>
      <c r="B40" t="s">
        <v>165</v>
      </c>
      <c r="C40">
        <v>1.47</v>
      </c>
      <c r="D40" s="2">
        <v>39</v>
      </c>
      <c r="E40" t="s">
        <v>162</v>
      </c>
      <c r="F40" t="s">
        <v>56</v>
      </c>
      <c r="G40" t="s">
        <v>166</v>
      </c>
      <c r="H40">
        <v>0</v>
      </c>
      <c r="I40" s="13">
        <v>0.75</v>
      </c>
      <c r="J40">
        <v>2</v>
      </c>
      <c r="K40" s="2">
        <v>3</v>
      </c>
      <c r="L40">
        <v>3</v>
      </c>
      <c r="M40" s="2">
        <f t="shared" si="0"/>
        <v>0</v>
      </c>
      <c r="N40">
        <v>6</v>
      </c>
      <c r="O40">
        <v>3</v>
      </c>
      <c r="P40">
        <f t="shared" si="1"/>
        <v>-3</v>
      </c>
      <c r="Q40">
        <v>3</v>
      </c>
      <c r="R40">
        <v>3</v>
      </c>
      <c r="S40">
        <f t="shared" si="2"/>
        <v>0</v>
      </c>
      <c r="T40">
        <v>5</v>
      </c>
      <c r="U40">
        <v>5</v>
      </c>
      <c r="V40">
        <f t="shared" si="3"/>
        <v>0</v>
      </c>
      <c r="W40">
        <v>1</v>
      </c>
      <c r="X40">
        <v>1</v>
      </c>
      <c r="Y40">
        <f t="shared" si="4"/>
        <v>0</v>
      </c>
      <c r="Z40" s="2">
        <v>0</v>
      </c>
      <c r="AA40" s="2">
        <v>0</v>
      </c>
      <c r="AB40" s="2">
        <v>1</v>
      </c>
      <c r="AC40">
        <f t="shared" si="5"/>
        <v>1</v>
      </c>
      <c r="AD40" s="2">
        <v>1</v>
      </c>
      <c r="AE40" s="2">
        <v>1</v>
      </c>
      <c r="AF40" s="2">
        <v>0</v>
      </c>
      <c r="AG40" s="2">
        <v>1</v>
      </c>
      <c r="AH40" s="2">
        <v>0</v>
      </c>
      <c r="AI40" s="2">
        <v>0</v>
      </c>
      <c r="AJ40" s="2">
        <v>1</v>
      </c>
      <c r="AK40" s="2">
        <v>1</v>
      </c>
      <c r="AL40">
        <f t="shared" si="6"/>
        <v>0</v>
      </c>
      <c r="AM40" t="s">
        <v>9</v>
      </c>
      <c r="AN40" t="s">
        <v>269</v>
      </c>
    </row>
    <row r="41" spans="1:40" x14ac:dyDescent="0.35">
      <c r="A41">
        <v>76</v>
      </c>
      <c r="B41" t="s">
        <v>164</v>
      </c>
      <c r="C41">
        <v>0.44</v>
      </c>
      <c r="D41" s="5">
        <v>12</v>
      </c>
      <c r="E41" t="s">
        <v>162</v>
      </c>
      <c r="F41" t="s">
        <v>56</v>
      </c>
      <c r="G41" t="s">
        <v>166</v>
      </c>
      <c r="H41">
        <v>0</v>
      </c>
      <c r="I41" s="13">
        <v>0.5</v>
      </c>
      <c r="J41">
        <v>2</v>
      </c>
      <c r="K41" s="2">
        <v>2</v>
      </c>
      <c r="L41">
        <v>2</v>
      </c>
      <c r="M41" s="2">
        <f t="shared" si="0"/>
        <v>0</v>
      </c>
      <c r="N41">
        <v>7</v>
      </c>
      <c r="O41">
        <v>7</v>
      </c>
      <c r="P41">
        <f t="shared" si="1"/>
        <v>0</v>
      </c>
      <c r="Q41">
        <v>3</v>
      </c>
      <c r="R41">
        <v>3</v>
      </c>
      <c r="S41">
        <f t="shared" si="2"/>
        <v>0</v>
      </c>
      <c r="T41">
        <v>3</v>
      </c>
      <c r="U41">
        <v>3</v>
      </c>
      <c r="V41">
        <f t="shared" si="3"/>
        <v>0</v>
      </c>
      <c r="W41">
        <v>1</v>
      </c>
      <c r="X41">
        <v>1</v>
      </c>
      <c r="Y41">
        <f t="shared" si="4"/>
        <v>0</v>
      </c>
      <c r="Z41" s="2">
        <v>1</v>
      </c>
      <c r="AA41" s="2">
        <v>1</v>
      </c>
      <c r="AB41" s="2">
        <v>1</v>
      </c>
      <c r="AC41">
        <f t="shared" si="5"/>
        <v>1</v>
      </c>
      <c r="AD41" s="2">
        <v>0</v>
      </c>
      <c r="AE41" s="2">
        <v>1</v>
      </c>
      <c r="AF41" s="2">
        <v>0</v>
      </c>
      <c r="AG41" s="2">
        <v>1</v>
      </c>
      <c r="AH41" s="2">
        <v>0</v>
      </c>
      <c r="AI41" s="2">
        <v>0</v>
      </c>
      <c r="AJ41" s="2">
        <v>1</v>
      </c>
      <c r="AK41" s="2">
        <v>0</v>
      </c>
      <c r="AL41">
        <f t="shared" si="6"/>
        <v>0</v>
      </c>
      <c r="AM41" s="9" t="s">
        <v>39</v>
      </c>
      <c r="AN41" t="s">
        <v>270</v>
      </c>
    </row>
    <row r="42" spans="1:40" x14ac:dyDescent="0.35">
      <c r="A42">
        <v>79</v>
      </c>
      <c r="B42" t="s">
        <v>14</v>
      </c>
      <c r="C42">
        <v>1.42</v>
      </c>
      <c r="D42" s="5">
        <v>4</v>
      </c>
      <c r="E42" t="s">
        <v>160</v>
      </c>
      <c r="F42" t="s">
        <v>59</v>
      </c>
      <c r="G42" t="s">
        <v>167</v>
      </c>
      <c r="H42">
        <v>0</v>
      </c>
      <c r="I42" s="13">
        <v>0.25</v>
      </c>
      <c r="J42">
        <v>1</v>
      </c>
      <c r="K42" s="2">
        <v>2</v>
      </c>
      <c r="L42">
        <v>2</v>
      </c>
      <c r="M42" s="2">
        <f t="shared" si="0"/>
        <v>0</v>
      </c>
      <c r="N42">
        <v>5</v>
      </c>
      <c r="O42">
        <v>5</v>
      </c>
      <c r="P42">
        <f t="shared" si="1"/>
        <v>0</v>
      </c>
      <c r="Q42">
        <v>3</v>
      </c>
      <c r="R42">
        <v>3</v>
      </c>
      <c r="S42">
        <f t="shared" si="2"/>
        <v>0</v>
      </c>
      <c r="T42">
        <v>2</v>
      </c>
      <c r="U42">
        <v>2</v>
      </c>
      <c r="V42">
        <f t="shared" si="3"/>
        <v>0</v>
      </c>
      <c r="W42">
        <v>1</v>
      </c>
      <c r="X42">
        <v>1</v>
      </c>
      <c r="Y42">
        <f t="shared" si="4"/>
        <v>0</v>
      </c>
      <c r="Z42" s="2">
        <v>0</v>
      </c>
      <c r="AA42" s="2">
        <v>0</v>
      </c>
      <c r="AB42" s="2">
        <v>0</v>
      </c>
      <c r="AC42">
        <f t="shared" si="5"/>
        <v>0</v>
      </c>
      <c r="AD42" s="2">
        <v>0</v>
      </c>
      <c r="AE42" s="2">
        <v>1</v>
      </c>
      <c r="AF42" s="2">
        <v>0</v>
      </c>
      <c r="AG42" s="2">
        <v>1</v>
      </c>
      <c r="AH42" s="2">
        <v>0</v>
      </c>
      <c r="AI42" s="2">
        <v>0</v>
      </c>
      <c r="AJ42" s="2">
        <v>1</v>
      </c>
      <c r="AK42" s="2">
        <v>0</v>
      </c>
      <c r="AL42">
        <f t="shared" si="6"/>
        <v>0</v>
      </c>
      <c r="AM42" s="9" t="s">
        <v>6</v>
      </c>
      <c r="AN42" t="s">
        <v>269</v>
      </c>
    </row>
    <row r="43" spans="1:40" x14ac:dyDescent="0.35">
      <c r="A43">
        <v>80</v>
      </c>
      <c r="B43" t="s">
        <v>165</v>
      </c>
      <c r="C43">
        <v>1.47</v>
      </c>
      <c r="D43" s="2">
        <v>46</v>
      </c>
      <c r="E43" t="s">
        <v>162</v>
      </c>
      <c r="F43" t="s">
        <v>53</v>
      </c>
      <c r="G43" t="s">
        <v>167</v>
      </c>
      <c r="H43">
        <v>0</v>
      </c>
      <c r="I43" s="13">
        <v>1</v>
      </c>
      <c r="J43">
        <v>2</v>
      </c>
      <c r="K43" s="2">
        <v>4</v>
      </c>
      <c r="L43">
        <v>4</v>
      </c>
      <c r="M43" s="2">
        <f t="shared" si="0"/>
        <v>0</v>
      </c>
      <c r="N43">
        <v>5</v>
      </c>
      <c r="O43">
        <v>3</v>
      </c>
      <c r="P43">
        <f t="shared" si="1"/>
        <v>-2</v>
      </c>
      <c r="Q43">
        <v>2</v>
      </c>
      <c r="R43">
        <v>2</v>
      </c>
      <c r="S43">
        <f t="shared" si="2"/>
        <v>0</v>
      </c>
      <c r="T43">
        <v>3</v>
      </c>
      <c r="U43">
        <v>5</v>
      </c>
      <c r="V43">
        <f t="shared" si="3"/>
        <v>2</v>
      </c>
      <c r="W43">
        <v>1</v>
      </c>
      <c r="X43">
        <v>1</v>
      </c>
      <c r="Y43">
        <f t="shared" si="4"/>
        <v>0</v>
      </c>
      <c r="Z43" s="2">
        <v>0</v>
      </c>
      <c r="AA43" s="2">
        <v>0</v>
      </c>
      <c r="AB43" s="2">
        <v>0</v>
      </c>
      <c r="AC43">
        <f t="shared" si="5"/>
        <v>0</v>
      </c>
      <c r="AD43" s="2">
        <v>0</v>
      </c>
      <c r="AE43" s="2">
        <v>1</v>
      </c>
      <c r="AF43" s="2">
        <v>0</v>
      </c>
      <c r="AG43" s="2">
        <v>1</v>
      </c>
      <c r="AH43" s="2">
        <v>0</v>
      </c>
      <c r="AI43" s="2">
        <v>0</v>
      </c>
      <c r="AJ43" s="2">
        <v>0</v>
      </c>
      <c r="AK43" s="2">
        <v>1</v>
      </c>
      <c r="AL43">
        <f t="shared" si="6"/>
        <v>0</v>
      </c>
      <c r="AM43" t="s">
        <v>43</v>
      </c>
      <c r="AN43" t="s">
        <v>270</v>
      </c>
    </row>
    <row r="44" spans="1:40" x14ac:dyDescent="0.35">
      <c r="A44">
        <v>81</v>
      </c>
      <c r="B44" t="s">
        <v>165</v>
      </c>
      <c r="C44">
        <v>1.47</v>
      </c>
      <c r="D44" s="2">
        <v>125</v>
      </c>
      <c r="E44" t="s">
        <v>162</v>
      </c>
      <c r="F44" t="s">
        <v>59</v>
      </c>
      <c r="G44" t="s">
        <v>167</v>
      </c>
      <c r="H44">
        <v>0</v>
      </c>
      <c r="I44" s="13">
        <v>1</v>
      </c>
      <c r="J44">
        <v>2</v>
      </c>
      <c r="K44" s="2">
        <v>2</v>
      </c>
      <c r="L44">
        <v>3</v>
      </c>
      <c r="M44" s="2">
        <f t="shared" si="0"/>
        <v>1</v>
      </c>
      <c r="N44">
        <v>8</v>
      </c>
      <c r="O44">
        <v>5</v>
      </c>
      <c r="P44">
        <f t="shared" si="1"/>
        <v>-3</v>
      </c>
      <c r="Q44">
        <v>2</v>
      </c>
      <c r="R44">
        <v>2</v>
      </c>
      <c r="S44">
        <f t="shared" si="2"/>
        <v>0</v>
      </c>
      <c r="T44">
        <v>2</v>
      </c>
      <c r="U44">
        <v>2</v>
      </c>
      <c r="V44">
        <f t="shared" si="3"/>
        <v>0</v>
      </c>
      <c r="W44">
        <v>1</v>
      </c>
      <c r="X44">
        <v>1</v>
      </c>
      <c r="Y44">
        <f t="shared" si="4"/>
        <v>0</v>
      </c>
      <c r="Z44" s="2">
        <v>0</v>
      </c>
      <c r="AA44" s="2">
        <v>0</v>
      </c>
      <c r="AB44" s="2">
        <v>0</v>
      </c>
      <c r="AC44">
        <f t="shared" si="5"/>
        <v>0</v>
      </c>
      <c r="AD44" s="2">
        <v>0</v>
      </c>
      <c r="AE44" s="2">
        <v>1</v>
      </c>
      <c r="AF44" s="2">
        <v>0</v>
      </c>
      <c r="AG44" s="2">
        <v>1</v>
      </c>
      <c r="AH44" s="2">
        <v>0</v>
      </c>
      <c r="AI44" s="2">
        <v>1</v>
      </c>
      <c r="AJ44" s="2">
        <v>1</v>
      </c>
      <c r="AK44" s="2">
        <v>0</v>
      </c>
      <c r="AL44">
        <f t="shared" si="6"/>
        <v>0</v>
      </c>
      <c r="AM44" t="s">
        <v>9</v>
      </c>
      <c r="AN44" t="s">
        <v>269</v>
      </c>
    </row>
    <row r="45" spans="1:40" x14ac:dyDescent="0.35">
      <c r="A45">
        <v>82</v>
      </c>
      <c r="B45" t="s">
        <v>18</v>
      </c>
      <c r="C45">
        <v>-0.04</v>
      </c>
      <c r="D45" s="2">
        <v>15</v>
      </c>
      <c r="E45" t="s">
        <v>160</v>
      </c>
      <c r="F45" t="s">
        <v>59</v>
      </c>
      <c r="G45" t="s">
        <v>166</v>
      </c>
      <c r="H45">
        <v>0</v>
      </c>
      <c r="I45" s="13">
        <v>0.5</v>
      </c>
      <c r="J45">
        <v>1</v>
      </c>
      <c r="K45" s="2">
        <v>5</v>
      </c>
      <c r="L45">
        <v>5</v>
      </c>
      <c r="M45" s="2">
        <f t="shared" si="0"/>
        <v>0</v>
      </c>
      <c r="N45">
        <v>8</v>
      </c>
      <c r="O45">
        <v>7</v>
      </c>
      <c r="P45">
        <f t="shared" si="1"/>
        <v>-1</v>
      </c>
      <c r="Q45">
        <v>2</v>
      </c>
      <c r="R45">
        <v>2</v>
      </c>
      <c r="S45">
        <f t="shared" si="2"/>
        <v>0</v>
      </c>
      <c r="T45">
        <v>2</v>
      </c>
      <c r="U45">
        <v>3</v>
      </c>
      <c r="V45">
        <f t="shared" si="3"/>
        <v>1</v>
      </c>
      <c r="W45">
        <v>1</v>
      </c>
      <c r="X45">
        <v>1</v>
      </c>
      <c r="Y45">
        <f t="shared" si="4"/>
        <v>0</v>
      </c>
      <c r="Z45" s="2">
        <v>0</v>
      </c>
      <c r="AA45" s="2">
        <v>1</v>
      </c>
      <c r="AB45" s="2">
        <v>0</v>
      </c>
      <c r="AC45">
        <f t="shared" si="5"/>
        <v>1</v>
      </c>
      <c r="AD45" s="2">
        <v>0</v>
      </c>
      <c r="AE45" s="2">
        <v>1</v>
      </c>
      <c r="AF45" s="2">
        <v>0</v>
      </c>
      <c r="AG45" s="2">
        <v>1</v>
      </c>
      <c r="AH45" s="2">
        <v>0</v>
      </c>
      <c r="AI45" s="2">
        <v>0</v>
      </c>
      <c r="AJ45" s="2">
        <v>1</v>
      </c>
      <c r="AK45" s="2">
        <v>0</v>
      </c>
      <c r="AL45">
        <f t="shared" si="6"/>
        <v>0</v>
      </c>
      <c r="AM45" t="s">
        <v>136</v>
      </c>
      <c r="AN45" t="s">
        <v>270</v>
      </c>
    </row>
    <row r="46" spans="1:40" x14ac:dyDescent="0.35">
      <c r="A46">
        <v>83</v>
      </c>
      <c r="B46" t="s">
        <v>164</v>
      </c>
      <c r="C46">
        <v>0.44</v>
      </c>
      <c r="D46" s="5">
        <v>9</v>
      </c>
      <c r="E46" t="s">
        <v>162</v>
      </c>
      <c r="F46" t="s">
        <v>59</v>
      </c>
      <c r="G46" t="s">
        <v>166</v>
      </c>
      <c r="H46">
        <v>0</v>
      </c>
      <c r="I46" s="13">
        <v>0.25</v>
      </c>
      <c r="J46">
        <v>2</v>
      </c>
      <c r="K46" s="2">
        <v>2</v>
      </c>
      <c r="L46">
        <v>1</v>
      </c>
      <c r="M46" s="2">
        <f t="shared" si="0"/>
        <v>-1</v>
      </c>
      <c r="N46">
        <v>7</v>
      </c>
      <c r="O46">
        <v>5</v>
      </c>
      <c r="P46">
        <f t="shared" si="1"/>
        <v>-2</v>
      </c>
      <c r="Q46">
        <v>1</v>
      </c>
      <c r="R46">
        <v>1</v>
      </c>
      <c r="S46">
        <f t="shared" si="2"/>
        <v>0</v>
      </c>
      <c r="T46">
        <v>1</v>
      </c>
      <c r="U46">
        <v>2</v>
      </c>
      <c r="V46">
        <f t="shared" si="3"/>
        <v>1</v>
      </c>
      <c r="W46">
        <v>1</v>
      </c>
      <c r="X46">
        <v>1</v>
      </c>
      <c r="Y46">
        <f t="shared" si="4"/>
        <v>0</v>
      </c>
      <c r="Z46" s="2">
        <v>0</v>
      </c>
      <c r="AA46" s="2">
        <v>0</v>
      </c>
      <c r="AB46" s="2">
        <v>0</v>
      </c>
      <c r="AC46">
        <f t="shared" si="5"/>
        <v>0</v>
      </c>
      <c r="AD46" s="2">
        <v>0</v>
      </c>
      <c r="AE46" s="2">
        <v>1</v>
      </c>
      <c r="AF46" s="2">
        <v>0</v>
      </c>
      <c r="AG46" s="2">
        <v>1</v>
      </c>
      <c r="AH46" s="2">
        <v>0</v>
      </c>
      <c r="AI46" s="2">
        <v>0</v>
      </c>
      <c r="AJ46" s="2">
        <v>0</v>
      </c>
      <c r="AK46" s="2">
        <v>0</v>
      </c>
      <c r="AL46">
        <f t="shared" si="6"/>
        <v>0</v>
      </c>
      <c r="AM46" s="9" t="s">
        <v>39</v>
      </c>
      <c r="AN46" t="s">
        <v>270</v>
      </c>
    </row>
    <row r="47" spans="1:40" x14ac:dyDescent="0.35">
      <c r="A47">
        <v>87</v>
      </c>
      <c r="B47" t="s">
        <v>18</v>
      </c>
      <c r="C47">
        <v>-0.04</v>
      </c>
      <c r="D47" s="2">
        <v>87</v>
      </c>
      <c r="E47" t="s">
        <v>141</v>
      </c>
      <c r="F47" t="s">
        <v>59</v>
      </c>
      <c r="G47" t="s">
        <v>166</v>
      </c>
      <c r="H47">
        <v>0</v>
      </c>
      <c r="I47" s="13">
        <v>0.25</v>
      </c>
      <c r="J47">
        <v>1</v>
      </c>
      <c r="K47" s="2">
        <v>3</v>
      </c>
      <c r="L47">
        <v>3</v>
      </c>
      <c r="M47" s="2">
        <f t="shared" si="0"/>
        <v>0</v>
      </c>
      <c r="N47">
        <v>7</v>
      </c>
      <c r="O47">
        <v>5</v>
      </c>
      <c r="P47">
        <f t="shared" si="1"/>
        <v>-2</v>
      </c>
      <c r="Q47">
        <v>2</v>
      </c>
      <c r="R47">
        <v>2</v>
      </c>
      <c r="S47">
        <f t="shared" si="2"/>
        <v>0</v>
      </c>
      <c r="T47">
        <v>1</v>
      </c>
      <c r="U47">
        <v>1</v>
      </c>
      <c r="V47">
        <f t="shared" si="3"/>
        <v>0</v>
      </c>
      <c r="W47">
        <v>0</v>
      </c>
      <c r="X47">
        <v>0</v>
      </c>
      <c r="Y47">
        <f t="shared" si="4"/>
        <v>0</v>
      </c>
      <c r="Z47" s="2">
        <v>0</v>
      </c>
      <c r="AA47" s="2">
        <v>0</v>
      </c>
      <c r="AB47" s="2">
        <v>1</v>
      </c>
      <c r="AC47">
        <f t="shared" si="5"/>
        <v>1</v>
      </c>
      <c r="AD47" s="2">
        <v>0</v>
      </c>
      <c r="AE47" s="2">
        <v>1</v>
      </c>
      <c r="AF47" s="2">
        <v>0</v>
      </c>
      <c r="AG47" s="2">
        <v>1</v>
      </c>
      <c r="AH47" s="2">
        <v>0</v>
      </c>
      <c r="AI47" s="2">
        <v>0</v>
      </c>
      <c r="AJ47" s="2">
        <v>0</v>
      </c>
      <c r="AK47" s="2">
        <v>1</v>
      </c>
      <c r="AL47">
        <f t="shared" si="6"/>
        <v>0</v>
      </c>
      <c r="AM47" t="s">
        <v>6</v>
      </c>
      <c r="AN47" t="s">
        <v>269</v>
      </c>
    </row>
    <row r="48" spans="1:40" x14ac:dyDescent="0.35">
      <c r="A48">
        <v>89</v>
      </c>
      <c r="B48" t="s">
        <v>18</v>
      </c>
      <c r="C48">
        <v>-0.04</v>
      </c>
      <c r="D48" s="2">
        <v>60</v>
      </c>
      <c r="E48" t="s">
        <v>62</v>
      </c>
      <c r="F48" t="s">
        <v>55</v>
      </c>
      <c r="G48" t="s">
        <v>166</v>
      </c>
      <c r="H48">
        <v>0</v>
      </c>
      <c r="I48" s="13">
        <v>0.5</v>
      </c>
      <c r="J48">
        <v>1</v>
      </c>
      <c r="K48" s="2">
        <v>4</v>
      </c>
      <c r="L48">
        <v>2</v>
      </c>
      <c r="M48" s="2">
        <f t="shared" si="0"/>
        <v>-2</v>
      </c>
      <c r="N48">
        <v>5</v>
      </c>
      <c r="O48">
        <v>5</v>
      </c>
      <c r="P48">
        <f t="shared" si="1"/>
        <v>0</v>
      </c>
      <c r="Q48">
        <v>2</v>
      </c>
      <c r="R48">
        <v>2</v>
      </c>
      <c r="S48">
        <f t="shared" si="2"/>
        <v>0</v>
      </c>
      <c r="T48">
        <v>2</v>
      </c>
      <c r="U48">
        <v>3</v>
      </c>
      <c r="V48">
        <f t="shared" si="3"/>
        <v>1</v>
      </c>
      <c r="W48">
        <v>2</v>
      </c>
      <c r="X48">
        <v>2</v>
      </c>
      <c r="Y48">
        <f t="shared" si="4"/>
        <v>0</v>
      </c>
      <c r="Z48" s="2">
        <v>0</v>
      </c>
      <c r="AA48" s="2">
        <v>1</v>
      </c>
      <c r="AB48" s="2">
        <v>0</v>
      </c>
      <c r="AC48">
        <f t="shared" si="5"/>
        <v>1</v>
      </c>
      <c r="AD48" s="2">
        <v>0</v>
      </c>
      <c r="AE48" s="2">
        <v>1</v>
      </c>
      <c r="AF48" s="2">
        <v>0</v>
      </c>
      <c r="AG48" s="2">
        <v>1</v>
      </c>
      <c r="AH48" s="2">
        <v>1</v>
      </c>
      <c r="AI48" s="2">
        <v>1</v>
      </c>
      <c r="AJ48" s="2">
        <v>1</v>
      </c>
      <c r="AK48" s="2">
        <v>0</v>
      </c>
      <c r="AL48">
        <f t="shared" si="6"/>
        <v>0</v>
      </c>
      <c r="AM48" t="s">
        <v>6</v>
      </c>
      <c r="AN48" t="s">
        <v>269</v>
      </c>
    </row>
    <row r="49" spans="1:40" x14ac:dyDescent="0.35">
      <c r="A49">
        <v>90</v>
      </c>
      <c r="B49" t="s">
        <v>18</v>
      </c>
      <c r="C49">
        <v>-0.04</v>
      </c>
      <c r="D49" s="2">
        <v>89</v>
      </c>
      <c r="E49" t="s">
        <v>160</v>
      </c>
      <c r="F49" t="s">
        <v>53</v>
      </c>
      <c r="G49" t="s">
        <v>166</v>
      </c>
      <c r="H49">
        <v>0</v>
      </c>
      <c r="I49" s="13">
        <v>0.25</v>
      </c>
      <c r="J49">
        <v>1</v>
      </c>
      <c r="K49" s="2">
        <v>3</v>
      </c>
      <c r="L49">
        <v>3</v>
      </c>
      <c r="M49" s="2">
        <f t="shared" si="0"/>
        <v>0</v>
      </c>
      <c r="N49">
        <v>4</v>
      </c>
      <c r="O49">
        <v>4</v>
      </c>
      <c r="P49">
        <f t="shared" si="1"/>
        <v>0</v>
      </c>
      <c r="Q49">
        <v>2</v>
      </c>
      <c r="R49">
        <v>2</v>
      </c>
      <c r="S49">
        <f t="shared" si="2"/>
        <v>0</v>
      </c>
      <c r="T49">
        <v>1</v>
      </c>
      <c r="U49">
        <v>1</v>
      </c>
      <c r="V49">
        <f t="shared" si="3"/>
        <v>0</v>
      </c>
      <c r="W49">
        <v>0</v>
      </c>
      <c r="X49">
        <v>0</v>
      </c>
      <c r="Y49">
        <f t="shared" si="4"/>
        <v>0</v>
      </c>
      <c r="Z49" s="2">
        <v>0</v>
      </c>
      <c r="AA49" s="2">
        <v>0</v>
      </c>
      <c r="AB49" s="2">
        <v>1</v>
      </c>
      <c r="AC49">
        <f t="shared" si="5"/>
        <v>1</v>
      </c>
      <c r="AD49" s="2">
        <v>0</v>
      </c>
      <c r="AE49" s="2">
        <v>1</v>
      </c>
      <c r="AF49" s="2">
        <v>0</v>
      </c>
      <c r="AG49" s="2">
        <v>0</v>
      </c>
      <c r="AH49" s="2">
        <v>0</v>
      </c>
      <c r="AI49" s="2">
        <v>0</v>
      </c>
      <c r="AJ49" s="2">
        <v>0</v>
      </c>
      <c r="AK49" s="2">
        <v>0</v>
      </c>
      <c r="AL49">
        <f t="shared" si="6"/>
        <v>0</v>
      </c>
      <c r="AM49" t="s">
        <v>137</v>
      </c>
      <c r="AN49" t="s">
        <v>270</v>
      </c>
    </row>
    <row r="50" spans="1:40" x14ac:dyDescent="0.35">
      <c r="A50">
        <v>91</v>
      </c>
      <c r="B50" t="s">
        <v>18</v>
      </c>
      <c r="C50">
        <v>-0.04</v>
      </c>
      <c r="D50" s="2">
        <v>7</v>
      </c>
      <c r="E50" t="s">
        <v>62</v>
      </c>
      <c r="F50" t="s">
        <v>55</v>
      </c>
      <c r="G50" t="s">
        <v>166</v>
      </c>
      <c r="H50">
        <v>0</v>
      </c>
      <c r="I50" s="13">
        <v>0.25</v>
      </c>
      <c r="J50">
        <v>1</v>
      </c>
      <c r="K50" s="2">
        <v>5</v>
      </c>
      <c r="L50">
        <v>5</v>
      </c>
      <c r="M50" s="2">
        <f t="shared" si="0"/>
        <v>0</v>
      </c>
      <c r="N50">
        <v>8</v>
      </c>
      <c r="O50">
        <v>8</v>
      </c>
      <c r="P50">
        <f t="shared" si="1"/>
        <v>0</v>
      </c>
      <c r="Q50">
        <v>1</v>
      </c>
      <c r="R50">
        <v>1</v>
      </c>
      <c r="S50">
        <f t="shared" si="2"/>
        <v>0</v>
      </c>
      <c r="T50">
        <v>1</v>
      </c>
      <c r="U50">
        <v>1</v>
      </c>
      <c r="V50">
        <f t="shared" si="3"/>
        <v>0</v>
      </c>
      <c r="W50">
        <v>1</v>
      </c>
      <c r="X50">
        <v>1</v>
      </c>
      <c r="Y50">
        <f t="shared" si="4"/>
        <v>0</v>
      </c>
      <c r="Z50" s="2">
        <v>0</v>
      </c>
      <c r="AA50" s="2">
        <v>0</v>
      </c>
      <c r="AB50" s="2">
        <v>0</v>
      </c>
      <c r="AC50">
        <f t="shared" si="5"/>
        <v>0</v>
      </c>
      <c r="AD50" s="2">
        <v>0</v>
      </c>
      <c r="AE50" s="2">
        <v>1</v>
      </c>
      <c r="AF50" s="2">
        <v>0</v>
      </c>
      <c r="AG50" s="2">
        <v>0</v>
      </c>
      <c r="AH50" s="2">
        <v>0</v>
      </c>
      <c r="AI50" s="2">
        <v>1</v>
      </c>
      <c r="AJ50" s="2">
        <v>0</v>
      </c>
      <c r="AK50" s="2">
        <v>0</v>
      </c>
      <c r="AL50">
        <f t="shared" si="6"/>
        <v>0</v>
      </c>
      <c r="AM50" t="s">
        <v>47</v>
      </c>
      <c r="AN50" t="s">
        <v>269</v>
      </c>
    </row>
    <row r="51" spans="1:40" x14ac:dyDescent="0.35">
      <c r="A51">
        <v>93</v>
      </c>
      <c r="B51" t="s">
        <v>16</v>
      </c>
      <c r="C51">
        <v>1.61</v>
      </c>
      <c r="D51" s="2">
        <v>7</v>
      </c>
      <c r="E51" t="s">
        <v>52</v>
      </c>
      <c r="F51" t="s">
        <v>59</v>
      </c>
      <c r="G51" t="s">
        <v>166</v>
      </c>
      <c r="H51">
        <v>0</v>
      </c>
      <c r="I51" s="13">
        <v>1</v>
      </c>
      <c r="J51">
        <v>2</v>
      </c>
      <c r="K51" s="2">
        <v>16</v>
      </c>
      <c r="L51">
        <v>16</v>
      </c>
      <c r="M51" s="2">
        <f t="shared" si="0"/>
        <v>0</v>
      </c>
      <c r="N51">
        <v>9</v>
      </c>
      <c r="O51">
        <v>6</v>
      </c>
      <c r="P51">
        <f t="shared" si="1"/>
        <v>-3</v>
      </c>
      <c r="Q51">
        <v>2</v>
      </c>
      <c r="R51">
        <v>2</v>
      </c>
      <c r="S51">
        <f t="shared" si="2"/>
        <v>0</v>
      </c>
      <c r="T51">
        <v>5</v>
      </c>
      <c r="U51">
        <v>1</v>
      </c>
      <c r="V51">
        <f t="shared" si="3"/>
        <v>-4</v>
      </c>
      <c r="W51">
        <v>1</v>
      </c>
      <c r="X51">
        <v>1</v>
      </c>
      <c r="Y51">
        <f t="shared" si="4"/>
        <v>0</v>
      </c>
      <c r="Z51" s="2">
        <v>0</v>
      </c>
      <c r="AA51" s="2">
        <v>0</v>
      </c>
      <c r="AB51" s="2">
        <v>0</v>
      </c>
      <c r="AC51">
        <f t="shared" si="5"/>
        <v>0</v>
      </c>
      <c r="AD51" s="2">
        <v>0</v>
      </c>
      <c r="AE51" s="2">
        <v>1</v>
      </c>
      <c r="AF51" s="2">
        <v>0</v>
      </c>
      <c r="AG51" s="2">
        <v>0</v>
      </c>
      <c r="AH51" s="2">
        <v>0</v>
      </c>
      <c r="AI51" s="2">
        <v>0</v>
      </c>
      <c r="AJ51" s="2">
        <v>0</v>
      </c>
      <c r="AK51" s="2">
        <v>0</v>
      </c>
      <c r="AL51">
        <f t="shared" si="6"/>
        <v>0</v>
      </c>
      <c r="AM51" t="s">
        <v>6</v>
      </c>
      <c r="AN51" t="s">
        <v>269</v>
      </c>
    </row>
    <row r="52" spans="1:40" x14ac:dyDescent="0.35">
      <c r="A52">
        <v>96</v>
      </c>
      <c r="B52" t="s">
        <v>18</v>
      </c>
      <c r="C52">
        <v>-0.04</v>
      </c>
      <c r="D52" s="2">
        <v>135</v>
      </c>
      <c r="E52" t="s">
        <v>160</v>
      </c>
      <c r="F52" t="s">
        <v>55</v>
      </c>
      <c r="G52" t="s">
        <v>166</v>
      </c>
      <c r="H52">
        <v>0</v>
      </c>
      <c r="I52" s="13">
        <v>0.25</v>
      </c>
      <c r="J52">
        <v>1</v>
      </c>
      <c r="K52" s="2">
        <v>3</v>
      </c>
      <c r="L52">
        <v>3</v>
      </c>
      <c r="M52" s="2">
        <f t="shared" si="0"/>
        <v>0</v>
      </c>
      <c r="N52">
        <v>9</v>
      </c>
      <c r="O52">
        <v>9</v>
      </c>
      <c r="P52">
        <f t="shared" si="1"/>
        <v>0</v>
      </c>
      <c r="Q52">
        <v>3</v>
      </c>
      <c r="R52">
        <v>3</v>
      </c>
      <c r="S52">
        <f t="shared" si="2"/>
        <v>0</v>
      </c>
      <c r="T52">
        <v>2</v>
      </c>
      <c r="U52">
        <v>1</v>
      </c>
      <c r="V52">
        <f t="shared" si="3"/>
        <v>-1</v>
      </c>
      <c r="W52">
        <v>1</v>
      </c>
      <c r="X52">
        <v>0</v>
      </c>
      <c r="Y52">
        <f t="shared" si="4"/>
        <v>-1</v>
      </c>
      <c r="Z52" s="2">
        <v>0</v>
      </c>
      <c r="AA52" s="2">
        <v>1</v>
      </c>
      <c r="AB52" s="2">
        <v>1</v>
      </c>
      <c r="AC52">
        <f t="shared" si="5"/>
        <v>1</v>
      </c>
      <c r="AD52" s="2">
        <v>0</v>
      </c>
      <c r="AE52" s="2">
        <v>1</v>
      </c>
      <c r="AF52" s="2">
        <v>0</v>
      </c>
      <c r="AG52" s="2">
        <v>1</v>
      </c>
      <c r="AH52" s="2">
        <v>0</v>
      </c>
      <c r="AI52" s="2">
        <v>1</v>
      </c>
      <c r="AJ52" s="2">
        <v>0</v>
      </c>
      <c r="AK52" s="2">
        <v>0</v>
      </c>
      <c r="AL52">
        <f t="shared" si="6"/>
        <v>0</v>
      </c>
      <c r="AM52" t="s">
        <v>136</v>
      </c>
      <c r="AN52" t="s">
        <v>270</v>
      </c>
    </row>
    <row r="53" spans="1:40" x14ac:dyDescent="0.35">
      <c r="A53">
        <v>97</v>
      </c>
      <c r="B53" t="s">
        <v>14</v>
      </c>
      <c r="C53">
        <v>1.42</v>
      </c>
      <c r="D53" s="2">
        <v>4</v>
      </c>
      <c r="E53" t="s">
        <v>160</v>
      </c>
      <c r="F53" t="s">
        <v>55</v>
      </c>
      <c r="G53" t="s">
        <v>166</v>
      </c>
      <c r="H53">
        <v>0</v>
      </c>
      <c r="I53" s="13">
        <v>1</v>
      </c>
      <c r="J53">
        <v>1</v>
      </c>
      <c r="K53" s="2">
        <v>6</v>
      </c>
      <c r="L53">
        <v>6</v>
      </c>
      <c r="M53" s="2">
        <f t="shared" si="0"/>
        <v>0</v>
      </c>
      <c r="N53">
        <v>8</v>
      </c>
      <c r="O53">
        <v>4</v>
      </c>
      <c r="P53">
        <f t="shared" si="1"/>
        <v>-4</v>
      </c>
      <c r="Q53">
        <v>1</v>
      </c>
      <c r="R53">
        <v>2</v>
      </c>
      <c r="S53">
        <f t="shared" si="2"/>
        <v>1</v>
      </c>
      <c r="T53">
        <v>1</v>
      </c>
      <c r="U53">
        <v>1</v>
      </c>
      <c r="V53">
        <f t="shared" si="3"/>
        <v>0</v>
      </c>
      <c r="W53">
        <v>0</v>
      </c>
      <c r="X53">
        <v>1</v>
      </c>
      <c r="Y53">
        <f t="shared" si="4"/>
        <v>1</v>
      </c>
      <c r="Z53" s="2">
        <v>0</v>
      </c>
      <c r="AA53" s="2">
        <v>1</v>
      </c>
      <c r="AB53" s="2">
        <v>1</v>
      </c>
      <c r="AC53">
        <f t="shared" si="5"/>
        <v>1</v>
      </c>
      <c r="AD53" s="2">
        <v>0</v>
      </c>
      <c r="AE53" s="2">
        <v>1</v>
      </c>
      <c r="AF53" s="2">
        <v>0</v>
      </c>
      <c r="AG53" s="2">
        <v>1</v>
      </c>
      <c r="AH53" s="2">
        <v>0</v>
      </c>
      <c r="AI53" s="2">
        <v>0</v>
      </c>
      <c r="AJ53" s="2">
        <v>0</v>
      </c>
      <c r="AK53" s="2">
        <v>0</v>
      </c>
      <c r="AL53">
        <f t="shared" si="6"/>
        <v>0</v>
      </c>
      <c r="AM53" t="s">
        <v>136</v>
      </c>
      <c r="AN53" t="s">
        <v>270</v>
      </c>
    </row>
    <row r="54" spans="1:40" x14ac:dyDescent="0.35">
      <c r="A54">
        <v>99</v>
      </c>
      <c r="B54" t="s">
        <v>18</v>
      </c>
      <c r="C54">
        <v>-0.04</v>
      </c>
      <c r="D54" s="5">
        <v>99</v>
      </c>
      <c r="E54" t="s">
        <v>61</v>
      </c>
      <c r="F54" t="s">
        <v>55</v>
      </c>
      <c r="G54" t="s">
        <v>167</v>
      </c>
      <c r="H54">
        <v>0</v>
      </c>
      <c r="I54" s="13">
        <v>1</v>
      </c>
      <c r="J54">
        <v>1</v>
      </c>
      <c r="K54" s="2">
        <v>1</v>
      </c>
      <c r="L54">
        <v>1</v>
      </c>
      <c r="M54" s="2">
        <f t="shared" si="0"/>
        <v>0</v>
      </c>
      <c r="N54">
        <v>6</v>
      </c>
      <c r="O54">
        <v>6</v>
      </c>
      <c r="P54">
        <f t="shared" si="1"/>
        <v>0</v>
      </c>
      <c r="Q54">
        <v>2</v>
      </c>
      <c r="R54">
        <v>2</v>
      </c>
      <c r="S54">
        <f t="shared" si="2"/>
        <v>0</v>
      </c>
      <c r="T54">
        <v>2</v>
      </c>
      <c r="U54">
        <v>1</v>
      </c>
      <c r="V54">
        <f t="shared" si="3"/>
        <v>-1</v>
      </c>
      <c r="W54">
        <v>0</v>
      </c>
      <c r="X54">
        <v>0</v>
      </c>
      <c r="Y54">
        <f t="shared" si="4"/>
        <v>0</v>
      </c>
      <c r="Z54" s="2">
        <v>0</v>
      </c>
      <c r="AA54" s="2">
        <v>0</v>
      </c>
      <c r="AB54" s="2">
        <v>0</v>
      </c>
      <c r="AC54">
        <f t="shared" si="5"/>
        <v>0</v>
      </c>
      <c r="AD54" s="2">
        <v>0</v>
      </c>
      <c r="AE54" s="2">
        <v>0</v>
      </c>
      <c r="AF54" s="2">
        <v>0</v>
      </c>
      <c r="AG54" s="2">
        <v>1</v>
      </c>
      <c r="AH54" s="2">
        <v>0</v>
      </c>
      <c r="AI54" s="2">
        <v>0</v>
      </c>
      <c r="AJ54" s="2">
        <v>0</v>
      </c>
      <c r="AK54" s="2">
        <v>0</v>
      </c>
      <c r="AL54">
        <f t="shared" si="6"/>
        <v>0</v>
      </c>
      <c r="AM54" s="9" t="s">
        <v>140</v>
      </c>
      <c r="AN54" t="s">
        <v>271</v>
      </c>
    </row>
    <row r="55" spans="1:40" x14ac:dyDescent="0.35">
      <c r="A55">
        <v>100</v>
      </c>
      <c r="B55" t="s">
        <v>18</v>
      </c>
      <c r="C55">
        <v>-0.04</v>
      </c>
      <c r="D55" s="2">
        <v>102</v>
      </c>
      <c r="E55" t="s">
        <v>62</v>
      </c>
      <c r="F55" t="s">
        <v>59</v>
      </c>
      <c r="G55" t="s">
        <v>166</v>
      </c>
      <c r="H55">
        <v>0</v>
      </c>
      <c r="I55" s="13">
        <v>0.5</v>
      </c>
      <c r="J55">
        <v>1</v>
      </c>
      <c r="K55" s="2">
        <v>2</v>
      </c>
      <c r="L55">
        <v>2</v>
      </c>
      <c r="M55" s="2">
        <f t="shared" si="0"/>
        <v>0</v>
      </c>
      <c r="N55">
        <v>5</v>
      </c>
      <c r="O55">
        <v>5</v>
      </c>
      <c r="P55">
        <f t="shared" si="1"/>
        <v>0</v>
      </c>
      <c r="Q55">
        <v>3</v>
      </c>
      <c r="R55">
        <v>3</v>
      </c>
      <c r="S55">
        <f t="shared" si="2"/>
        <v>0</v>
      </c>
      <c r="T55">
        <v>1</v>
      </c>
      <c r="U55">
        <v>3</v>
      </c>
      <c r="V55">
        <f t="shared" si="3"/>
        <v>2</v>
      </c>
      <c r="W55">
        <v>2</v>
      </c>
      <c r="X55">
        <v>2</v>
      </c>
      <c r="Y55">
        <f t="shared" si="4"/>
        <v>0</v>
      </c>
      <c r="Z55" s="2">
        <v>0</v>
      </c>
      <c r="AA55" s="2">
        <v>0</v>
      </c>
      <c r="AB55" s="2">
        <v>0</v>
      </c>
      <c r="AC55">
        <f t="shared" si="5"/>
        <v>0</v>
      </c>
      <c r="AD55" s="2">
        <v>0</v>
      </c>
      <c r="AE55" s="2">
        <v>1</v>
      </c>
      <c r="AF55" s="2">
        <v>0</v>
      </c>
      <c r="AG55" s="2">
        <v>1</v>
      </c>
      <c r="AH55" s="2">
        <v>0</v>
      </c>
      <c r="AI55" s="2">
        <v>1</v>
      </c>
      <c r="AJ55" s="2">
        <v>1</v>
      </c>
      <c r="AK55" s="2">
        <v>0</v>
      </c>
      <c r="AL55">
        <f t="shared" si="6"/>
        <v>0</v>
      </c>
      <c r="AM55" t="s">
        <v>47</v>
      </c>
      <c r="AN55" t="s">
        <v>269</v>
      </c>
    </row>
    <row r="56" spans="1:40" x14ac:dyDescent="0.35">
      <c r="A56">
        <v>102</v>
      </c>
      <c r="B56" t="s">
        <v>18</v>
      </c>
      <c r="C56">
        <v>-0.04</v>
      </c>
      <c r="D56" s="2">
        <v>135</v>
      </c>
      <c r="E56" t="s">
        <v>160</v>
      </c>
      <c r="F56" t="s">
        <v>55</v>
      </c>
      <c r="G56" t="s">
        <v>166</v>
      </c>
      <c r="H56">
        <v>0</v>
      </c>
      <c r="I56" s="13">
        <v>0.25</v>
      </c>
      <c r="J56">
        <v>1</v>
      </c>
      <c r="K56" s="2">
        <v>1</v>
      </c>
      <c r="L56">
        <v>1</v>
      </c>
      <c r="M56" s="2">
        <f t="shared" si="0"/>
        <v>0</v>
      </c>
      <c r="N56">
        <v>7</v>
      </c>
      <c r="O56">
        <v>6</v>
      </c>
      <c r="P56">
        <f t="shared" si="1"/>
        <v>-1</v>
      </c>
      <c r="Q56">
        <v>2</v>
      </c>
      <c r="R56">
        <v>2</v>
      </c>
      <c r="S56">
        <f t="shared" si="2"/>
        <v>0</v>
      </c>
      <c r="T56">
        <v>3</v>
      </c>
      <c r="U56">
        <v>1</v>
      </c>
      <c r="V56">
        <f t="shared" si="3"/>
        <v>-2</v>
      </c>
      <c r="W56">
        <v>1</v>
      </c>
      <c r="X56">
        <v>1</v>
      </c>
      <c r="Y56">
        <f t="shared" si="4"/>
        <v>0</v>
      </c>
      <c r="Z56" s="2">
        <v>0</v>
      </c>
      <c r="AA56" s="2">
        <v>0</v>
      </c>
      <c r="AB56" s="2">
        <v>0</v>
      </c>
      <c r="AC56">
        <f t="shared" si="5"/>
        <v>0</v>
      </c>
      <c r="AD56" s="2">
        <v>0</v>
      </c>
      <c r="AE56" s="2">
        <v>1</v>
      </c>
      <c r="AF56" s="2">
        <v>0</v>
      </c>
      <c r="AG56" s="2">
        <v>0</v>
      </c>
      <c r="AH56" s="2">
        <v>0</v>
      </c>
      <c r="AI56" s="2">
        <v>0</v>
      </c>
      <c r="AJ56" s="2">
        <v>0</v>
      </c>
      <c r="AK56" s="2">
        <v>0</v>
      </c>
      <c r="AL56">
        <f t="shared" si="6"/>
        <v>0</v>
      </c>
      <c r="AM56" t="s">
        <v>6</v>
      </c>
      <c r="AN56" t="s">
        <v>269</v>
      </c>
    </row>
    <row r="57" spans="1:40" x14ac:dyDescent="0.35">
      <c r="A57">
        <v>107</v>
      </c>
      <c r="B57" t="s">
        <v>18</v>
      </c>
      <c r="C57">
        <v>-0.04</v>
      </c>
      <c r="D57" s="2">
        <v>60</v>
      </c>
      <c r="E57" t="s">
        <v>160</v>
      </c>
      <c r="F57" t="s">
        <v>55</v>
      </c>
      <c r="G57" t="s">
        <v>166</v>
      </c>
      <c r="H57">
        <v>0</v>
      </c>
      <c r="I57" s="13">
        <v>0.75</v>
      </c>
      <c r="J57">
        <v>1</v>
      </c>
      <c r="K57" s="2">
        <v>9</v>
      </c>
      <c r="L57">
        <v>9</v>
      </c>
      <c r="M57" s="2">
        <f t="shared" si="0"/>
        <v>0</v>
      </c>
      <c r="N57">
        <v>7</v>
      </c>
      <c r="O57">
        <v>5</v>
      </c>
      <c r="P57">
        <f t="shared" si="1"/>
        <v>-2</v>
      </c>
      <c r="Q57">
        <v>3</v>
      </c>
      <c r="R57">
        <v>3</v>
      </c>
      <c r="S57">
        <f t="shared" si="2"/>
        <v>0</v>
      </c>
      <c r="T57">
        <v>4</v>
      </c>
      <c r="U57">
        <v>3</v>
      </c>
      <c r="V57">
        <f t="shared" si="3"/>
        <v>-1</v>
      </c>
      <c r="W57">
        <v>1</v>
      </c>
      <c r="X57">
        <v>1</v>
      </c>
      <c r="Y57">
        <f t="shared" si="4"/>
        <v>0</v>
      </c>
      <c r="Z57" s="2">
        <v>0</v>
      </c>
      <c r="AA57" s="2">
        <v>0</v>
      </c>
      <c r="AB57" s="2">
        <v>0</v>
      </c>
      <c r="AC57">
        <f t="shared" si="5"/>
        <v>0</v>
      </c>
      <c r="AD57" s="2">
        <v>0</v>
      </c>
      <c r="AE57" s="2">
        <v>1</v>
      </c>
      <c r="AF57" s="2">
        <v>0</v>
      </c>
      <c r="AG57" s="2">
        <v>1</v>
      </c>
      <c r="AH57" s="2">
        <v>0</v>
      </c>
      <c r="AI57" s="2">
        <v>1</v>
      </c>
      <c r="AJ57" s="2">
        <v>0</v>
      </c>
      <c r="AK57" s="2">
        <v>1</v>
      </c>
      <c r="AL57">
        <f t="shared" si="6"/>
        <v>0</v>
      </c>
      <c r="AM57" t="s">
        <v>6</v>
      </c>
      <c r="AN57" t="s">
        <v>269</v>
      </c>
    </row>
    <row r="58" spans="1:40" x14ac:dyDescent="0.35">
      <c r="A58">
        <v>109</v>
      </c>
      <c r="B58" t="s">
        <v>18</v>
      </c>
      <c r="C58">
        <v>-0.04</v>
      </c>
      <c r="D58" s="2">
        <v>40</v>
      </c>
      <c r="E58" t="s">
        <v>160</v>
      </c>
      <c r="F58" t="s">
        <v>56</v>
      </c>
      <c r="G58" t="s">
        <v>166</v>
      </c>
      <c r="H58">
        <v>0</v>
      </c>
      <c r="I58" s="13">
        <v>1</v>
      </c>
      <c r="J58">
        <v>1</v>
      </c>
      <c r="K58" s="2">
        <v>3</v>
      </c>
      <c r="L58">
        <v>3</v>
      </c>
      <c r="M58" s="2">
        <f t="shared" ref="M58:M113" si="7">L58-K58</f>
        <v>0</v>
      </c>
      <c r="N58">
        <v>9</v>
      </c>
      <c r="O58">
        <v>8</v>
      </c>
      <c r="P58">
        <f t="shared" ref="P58:P113" si="8">O58-N58</f>
        <v>-1</v>
      </c>
      <c r="Q58">
        <v>3</v>
      </c>
      <c r="R58">
        <v>3</v>
      </c>
      <c r="S58">
        <f t="shared" ref="S58:S113" si="9">R58-Q58</f>
        <v>0</v>
      </c>
      <c r="T58">
        <v>1</v>
      </c>
      <c r="U58">
        <v>1</v>
      </c>
      <c r="V58">
        <f t="shared" ref="V58:V113" si="10">U58-T58</f>
        <v>0</v>
      </c>
      <c r="W58">
        <v>2</v>
      </c>
      <c r="X58">
        <v>2</v>
      </c>
      <c r="Y58">
        <f t="shared" ref="Y58:Y113" si="11">X58-W58</f>
        <v>0</v>
      </c>
      <c r="Z58" s="2">
        <v>0</v>
      </c>
      <c r="AA58" s="2">
        <v>0</v>
      </c>
      <c r="AB58" s="2">
        <v>0</v>
      </c>
      <c r="AC58">
        <f t="shared" ref="AC58:AC113" si="12">IF(AA58+AB58&gt;0,1,0)</f>
        <v>0</v>
      </c>
      <c r="AD58" s="2">
        <v>0</v>
      </c>
      <c r="AE58" s="2">
        <v>0</v>
      </c>
      <c r="AF58" s="2">
        <v>0</v>
      </c>
      <c r="AG58" s="2">
        <v>0</v>
      </c>
      <c r="AH58" s="2">
        <v>0</v>
      </c>
      <c r="AI58" s="2">
        <v>0</v>
      </c>
      <c r="AJ58" s="2">
        <v>0</v>
      </c>
      <c r="AK58" s="2">
        <v>0</v>
      </c>
      <c r="AL58">
        <f t="shared" ref="AL58:AL113" si="13">IF(Z58+AC58+AD58+AE58+AG58+AJ58+AK58=0,1,0)</f>
        <v>1</v>
      </c>
      <c r="AM58" t="s">
        <v>140</v>
      </c>
      <c r="AN58" t="s">
        <v>271</v>
      </c>
    </row>
    <row r="59" spans="1:40" x14ac:dyDescent="0.35">
      <c r="A59">
        <v>111</v>
      </c>
      <c r="B59" t="s">
        <v>14</v>
      </c>
      <c r="C59">
        <v>1.42</v>
      </c>
      <c r="D59" s="2">
        <v>27</v>
      </c>
      <c r="E59" t="s">
        <v>160</v>
      </c>
      <c r="F59" t="s">
        <v>55</v>
      </c>
      <c r="G59" t="s">
        <v>166</v>
      </c>
      <c r="H59">
        <v>0</v>
      </c>
      <c r="I59" s="13">
        <v>1</v>
      </c>
      <c r="J59">
        <v>1</v>
      </c>
      <c r="K59" s="5">
        <v>11</v>
      </c>
      <c r="L59" s="9">
        <v>11</v>
      </c>
      <c r="M59" s="2">
        <f t="shared" si="7"/>
        <v>0</v>
      </c>
      <c r="N59">
        <v>5</v>
      </c>
      <c r="O59">
        <v>5</v>
      </c>
      <c r="P59">
        <f t="shared" si="8"/>
        <v>0</v>
      </c>
      <c r="Q59">
        <v>1</v>
      </c>
      <c r="R59">
        <v>1</v>
      </c>
      <c r="S59">
        <f t="shared" si="9"/>
        <v>0</v>
      </c>
      <c r="T59">
        <v>2</v>
      </c>
      <c r="U59">
        <v>3</v>
      </c>
      <c r="V59">
        <f t="shared" si="10"/>
        <v>1</v>
      </c>
      <c r="W59">
        <v>2</v>
      </c>
      <c r="X59">
        <v>2</v>
      </c>
      <c r="Y59">
        <f t="shared" si="11"/>
        <v>0</v>
      </c>
      <c r="Z59" s="2">
        <v>0</v>
      </c>
      <c r="AA59" s="2">
        <v>1</v>
      </c>
      <c r="AB59" s="2">
        <v>1</v>
      </c>
      <c r="AC59">
        <f t="shared" si="12"/>
        <v>1</v>
      </c>
      <c r="AD59" s="2">
        <v>0</v>
      </c>
      <c r="AE59" s="2">
        <v>0</v>
      </c>
      <c r="AF59" s="2">
        <v>0</v>
      </c>
      <c r="AG59" s="2">
        <v>1</v>
      </c>
      <c r="AH59" s="2">
        <v>0</v>
      </c>
      <c r="AI59" s="2">
        <v>0</v>
      </c>
      <c r="AJ59" s="2">
        <v>0</v>
      </c>
      <c r="AK59" s="2">
        <v>0</v>
      </c>
      <c r="AL59">
        <f t="shared" si="13"/>
        <v>0</v>
      </c>
      <c r="AM59" t="s">
        <v>137</v>
      </c>
      <c r="AN59" t="s">
        <v>270</v>
      </c>
    </row>
    <row r="60" spans="1:40" x14ac:dyDescent="0.35">
      <c r="A60">
        <v>115</v>
      </c>
      <c r="B60" t="s">
        <v>127</v>
      </c>
      <c r="C60" s="9">
        <v>1.81</v>
      </c>
      <c r="D60" s="5">
        <v>25</v>
      </c>
      <c r="E60" t="s">
        <v>61</v>
      </c>
      <c r="F60" t="s">
        <v>53</v>
      </c>
      <c r="G60" t="s">
        <v>166</v>
      </c>
      <c r="H60">
        <v>0</v>
      </c>
      <c r="I60" s="13">
        <v>0.25</v>
      </c>
      <c r="J60">
        <v>1</v>
      </c>
      <c r="K60" s="2">
        <v>2</v>
      </c>
      <c r="L60">
        <v>2</v>
      </c>
      <c r="M60" s="2">
        <f t="shared" si="7"/>
        <v>0</v>
      </c>
      <c r="N60">
        <v>7</v>
      </c>
      <c r="O60">
        <v>7</v>
      </c>
      <c r="P60">
        <f t="shared" si="8"/>
        <v>0</v>
      </c>
      <c r="Q60">
        <v>3</v>
      </c>
      <c r="R60">
        <v>3</v>
      </c>
      <c r="S60">
        <f t="shared" si="9"/>
        <v>0</v>
      </c>
      <c r="T60">
        <v>4</v>
      </c>
      <c r="U60">
        <v>4</v>
      </c>
      <c r="V60">
        <f t="shared" si="10"/>
        <v>0</v>
      </c>
      <c r="W60">
        <v>1</v>
      </c>
      <c r="X60">
        <v>1</v>
      </c>
      <c r="Y60">
        <f t="shared" si="11"/>
        <v>0</v>
      </c>
      <c r="Z60" s="2">
        <v>0</v>
      </c>
      <c r="AA60" s="2">
        <v>0</v>
      </c>
      <c r="AB60" s="2">
        <v>0</v>
      </c>
      <c r="AC60">
        <f t="shared" si="12"/>
        <v>0</v>
      </c>
      <c r="AD60" s="2">
        <v>0</v>
      </c>
      <c r="AE60" s="2">
        <v>1</v>
      </c>
      <c r="AF60" s="2">
        <v>0</v>
      </c>
      <c r="AG60" s="2">
        <v>1</v>
      </c>
      <c r="AH60" s="2">
        <v>0</v>
      </c>
      <c r="AI60" s="2">
        <v>0</v>
      </c>
      <c r="AJ60" s="2">
        <v>0</v>
      </c>
      <c r="AK60" s="2">
        <v>1</v>
      </c>
      <c r="AL60">
        <f t="shared" si="13"/>
        <v>0</v>
      </c>
      <c r="AM60" s="9" t="s">
        <v>39</v>
      </c>
      <c r="AN60" t="s">
        <v>270</v>
      </c>
    </row>
    <row r="61" spans="1:40" x14ac:dyDescent="0.35">
      <c r="A61">
        <v>118</v>
      </c>
      <c r="B61" t="s">
        <v>164</v>
      </c>
      <c r="C61">
        <v>0.44</v>
      </c>
      <c r="D61" s="5">
        <v>12</v>
      </c>
      <c r="E61" t="s">
        <v>61</v>
      </c>
      <c r="F61" t="s">
        <v>55</v>
      </c>
      <c r="G61" t="s">
        <v>167</v>
      </c>
      <c r="H61">
        <v>0</v>
      </c>
      <c r="I61" s="13">
        <v>0.5</v>
      </c>
      <c r="J61">
        <v>2</v>
      </c>
      <c r="K61" s="2">
        <v>2</v>
      </c>
      <c r="L61">
        <v>1</v>
      </c>
      <c r="M61" s="2">
        <f t="shared" si="7"/>
        <v>-1</v>
      </c>
      <c r="N61">
        <v>8</v>
      </c>
      <c r="O61">
        <v>8</v>
      </c>
      <c r="P61">
        <f t="shared" si="8"/>
        <v>0</v>
      </c>
      <c r="Q61">
        <v>1</v>
      </c>
      <c r="R61">
        <v>1</v>
      </c>
      <c r="S61">
        <f t="shared" si="9"/>
        <v>0</v>
      </c>
      <c r="T61">
        <v>2</v>
      </c>
      <c r="U61">
        <v>1</v>
      </c>
      <c r="V61">
        <f t="shared" si="10"/>
        <v>-1</v>
      </c>
      <c r="W61">
        <v>0</v>
      </c>
      <c r="X61">
        <v>1</v>
      </c>
      <c r="Y61">
        <f t="shared" si="11"/>
        <v>1</v>
      </c>
      <c r="Z61" s="2">
        <v>0</v>
      </c>
      <c r="AA61" s="2">
        <v>0</v>
      </c>
      <c r="AB61" s="2">
        <v>0</v>
      </c>
      <c r="AC61">
        <f t="shared" si="12"/>
        <v>0</v>
      </c>
      <c r="AD61" s="2">
        <v>0</v>
      </c>
      <c r="AE61" s="2">
        <v>1</v>
      </c>
      <c r="AF61" s="2">
        <v>0</v>
      </c>
      <c r="AG61" s="2">
        <v>1</v>
      </c>
      <c r="AH61" s="2">
        <v>0</v>
      </c>
      <c r="AI61" s="2">
        <v>0</v>
      </c>
      <c r="AJ61" s="2">
        <v>1</v>
      </c>
      <c r="AK61" s="2">
        <v>0</v>
      </c>
      <c r="AL61">
        <f t="shared" si="13"/>
        <v>0</v>
      </c>
      <c r="AM61" s="9" t="s">
        <v>39</v>
      </c>
      <c r="AN61" t="s">
        <v>270</v>
      </c>
    </row>
    <row r="62" spans="1:40" x14ac:dyDescent="0.35">
      <c r="A62">
        <v>119</v>
      </c>
      <c r="B62" t="s">
        <v>127</v>
      </c>
      <c r="C62" s="9">
        <v>1.81</v>
      </c>
      <c r="D62" s="5">
        <v>22</v>
      </c>
      <c r="E62" t="s">
        <v>61</v>
      </c>
      <c r="F62" t="s">
        <v>53</v>
      </c>
      <c r="G62" s="10" t="s">
        <v>167</v>
      </c>
      <c r="H62">
        <v>0</v>
      </c>
      <c r="I62" s="13">
        <v>0.5</v>
      </c>
      <c r="J62">
        <v>1</v>
      </c>
      <c r="K62" s="2">
        <v>4</v>
      </c>
      <c r="L62">
        <v>4</v>
      </c>
      <c r="M62" s="2">
        <f t="shared" si="7"/>
        <v>0</v>
      </c>
      <c r="N62">
        <v>5</v>
      </c>
      <c r="O62">
        <v>3</v>
      </c>
      <c r="P62">
        <f t="shared" si="8"/>
        <v>-2</v>
      </c>
      <c r="Q62">
        <v>2</v>
      </c>
      <c r="R62">
        <v>2</v>
      </c>
      <c r="S62">
        <f t="shared" si="9"/>
        <v>0</v>
      </c>
      <c r="T62">
        <v>4</v>
      </c>
      <c r="U62">
        <v>5</v>
      </c>
      <c r="V62">
        <f t="shared" si="10"/>
        <v>1</v>
      </c>
      <c r="W62">
        <v>2</v>
      </c>
      <c r="X62">
        <v>2</v>
      </c>
      <c r="Y62">
        <f t="shared" si="11"/>
        <v>0</v>
      </c>
      <c r="Z62" s="2">
        <v>0</v>
      </c>
      <c r="AA62" s="2">
        <v>1</v>
      </c>
      <c r="AB62" s="2">
        <v>0</v>
      </c>
      <c r="AC62">
        <f t="shared" si="12"/>
        <v>1</v>
      </c>
      <c r="AD62" s="2">
        <v>0</v>
      </c>
      <c r="AE62" s="2">
        <v>1</v>
      </c>
      <c r="AF62" s="2">
        <v>0</v>
      </c>
      <c r="AG62" s="2">
        <v>1</v>
      </c>
      <c r="AH62" s="2">
        <v>0</v>
      </c>
      <c r="AI62" s="2">
        <v>0</v>
      </c>
      <c r="AJ62" s="2">
        <v>0</v>
      </c>
      <c r="AK62" s="2">
        <v>1</v>
      </c>
      <c r="AL62">
        <f t="shared" si="13"/>
        <v>0</v>
      </c>
      <c r="AM62" s="9" t="s">
        <v>39</v>
      </c>
      <c r="AN62" t="s">
        <v>270</v>
      </c>
    </row>
    <row r="63" spans="1:40" x14ac:dyDescent="0.35">
      <c r="A63">
        <v>120</v>
      </c>
      <c r="B63" t="s">
        <v>16</v>
      </c>
      <c r="C63">
        <v>1.61</v>
      </c>
      <c r="D63" s="2">
        <v>135</v>
      </c>
      <c r="E63" t="s">
        <v>52</v>
      </c>
      <c r="F63" t="s">
        <v>53</v>
      </c>
      <c r="G63" t="s">
        <v>167</v>
      </c>
      <c r="H63">
        <v>0</v>
      </c>
      <c r="I63" s="13">
        <v>0.5</v>
      </c>
      <c r="J63">
        <v>2</v>
      </c>
      <c r="K63" s="2">
        <v>4</v>
      </c>
      <c r="L63">
        <v>5</v>
      </c>
      <c r="M63" s="2">
        <f t="shared" si="7"/>
        <v>1</v>
      </c>
      <c r="N63">
        <v>8</v>
      </c>
      <c r="O63">
        <v>4</v>
      </c>
      <c r="P63">
        <f t="shared" si="8"/>
        <v>-4</v>
      </c>
      <c r="Q63">
        <v>2</v>
      </c>
      <c r="R63">
        <v>2</v>
      </c>
      <c r="S63">
        <f t="shared" si="9"/>
        <v>0</v>
      </c>
      <c r="T63">
        <v>1</v>
      </c>
      <c r="U63">
        <v>1</v>
      </c>
      <c r="V63">
        <f t="shared" si="10"/>
        <v>0</v>
      </c>
      <c r="W63">
        <v>0</v>
      </c>
      <c r="X63">
        <v>0</v>
      </c>
      <c r="Y63">
        <f t="shared" si="11"/>
        <v>0</v>
      </c>
      <c r="Z63" s="2">
        <v>0</v>
      </c>
      <c r="AA63" s="2">
        <v>1</v>
      </c>
      <c r="AB63" s="2">
        <v>0</v>
      </c>
      <c r="AC63">
        <f t="shared" si="12"/>
        <v>1</v>
      </c>
      <c r="AD63" s="2">
        <v>0</v>
      </c>
      <c r="AE63" s="2">
        <v>1</v>
      </c>
      <c r="AF63" s="2">
        <v>0</v>
      </c>
      <c r="AG63" s="2">
        <v>1</v>
      </c>
      <c r="AH63" s="2">
        <v>0</v>
      </c>
      <c r="AI63" s="2">
        <v>0</v>
      </c>
      <c r="AJ63" s="2">
        <v>0</v>
      </c>
      <c r="AK63" s="2">
        <v>0</v>
      </c>
      <c r="AL63">
        <f t="shared" si="13"/>
        <v>0</v>
      </c>
      <c r="AM63" t="s">
        <v>6</v>
      </c>
      <c r="AN63" t="s">
        <v>269</v>
      </c>
    </row>
    <row r="64" spans="1:40" x14ac:dyDescent="0.35">
      <c r="A64">
        <v>121</v>
      </c>
      <c r="B64" t="s">
        <v>164</v>
      </c>
      <c r="C64">
        <v>0.44</v>
      </c>
      <c r="D64" s="2">
        <v>5</v>
      </c>
      <c r="E64" t="s">
        <v>162</v>
      </c>
      <c r="F64" t="s">
        <v>55</v>
      </c>
      <c r="G64" t="s">
        <v>166</v>
      </c>
      <c r="H64">
        <v>0</v>
      </c>
      <c r="I64" s="13">
        <v>0.75</v>
      </c>
      <c r="J64">
        <v>2</v>
      </c>
      <c r="K64" s="2">
        <v>3</v>
      </c>
      <c r="L64">
        <v>3</v>
      </c>
      <c r="M64" s="2">
        <f t="shared" si="7"/>
        <v>0</v>
      </c>
      <c r="N64">
        <v>6</v>
      </c>
      <c r="O64">
        <v>5</v>
      </c>
      <c r="P64">
        <f t="shared" si="8"/>
        <v>-1</v>
      </c>
      <c r="Q64">
        <v>2</v>
      </c>
      <c r="R64">
        <v>2</v>
      </c>
      <c r="S64">
        <f t="shared" si="9"/>
        <v>0</v>
      </c>
      <c r="T64">
        <v>2</v>
      </c>
      <c r="U64">
        <v>2</v>
      </c>
      <c r="V64">
        <f t="shared" si="10"/>
        <v>0</v>
      </c>
      <c r="W64">
        <v>1</v>
      </c>
      <c r="X64">
        <v>1</v>
      </c>
      <c r="Y64">
        <f t="shared" si="11"/>
        <v>0</v>
      </c>
      <c r="Z64" s="2">
        <v>0</v>
      </c>
      <c r="AA64" s="2">
        <v>1</v>
      </c>
      <c r="AB64" s="2">
        <v>1</v>
      </c>
      <c r="AC64">
        <f t="shared" si="12"/>
        <v>1</v>
      </c>
      <c r="AD64" s="2">
        <v>1</v>
      </c>
      <c r="AE64" s="2">
        <v>1</v>
      </c>
      <c r="AF64" s="2">
        <v>0</v>
      </c>
      <c r="AG64" s="2">
        <v>1</v>
      </c>
      <c r="AH64" s="2">
        <v>0</v>
      </c>
      <c r="AI64" s="2">
        <v>1</v>
      </c>
      <c r="AJ64" s="2">
        <v>1</v>
      </c>
      <c r="AK64" s="2">
        <v>1</v>
      </c>
      <c r="AL64">
        <f t="shared" si="13"/>
        <v>0</v>
      </c>
      <c r="AM64" t="s">
        <v>6</v>
      </c>
      <c r="AN64" t="s">
        <v>269</v>
      </c>
    </row>
    <row r="65" spans="1:40" x14ac:dyDescent="0.35">
      <c r="A65">
        <v>122</v>
      </c>
      <c r="B65" t="s">
        <v>127</v>
      </c>
      <c r="C65" s="9">
        <v>1.81</v>
      </c>
      <c r="D65" s="5">
        <v>15</v>
      </c>
      <c r="E65" t="s">
        <v>61</v>
      </c>
      <c r="F65" t="s">
        <v>53</v>
      </c>
      <c r="G65" t="s">
        <v>166</v>
      </c>
      <c r="H65">
        <v>0</v>
      </c>
      <c r="I65" s="13">
        <v>0.25</v>
      </c>
      <c r="J65">
        <v>1</v>
      </c>
      <c r="K65" s="2">
        <v>3</v>
      </c>
      <c r="L65">
        <v>3</v>
      </c>
      <c r="M65" s="2">
        <f t="shared" si="7"/>
        <v>0</v>
      </c>
      <c r="N65">
        <v>4</v>
      </c>
      <c r="O65">
        <v>4</v>
      </c>
      <c r="P65">
        <f t="shared" si="8"/>
        <v>0</v>
      </c>
      <c r="Q65">
        <v>2</v>
      </c>
      <c r="R65">
        <v>2</v>
      </c>
      <c r="S65">
        <f t="shared" si="9"/>
        <v>0</v>
      </c>
      <c r="T65">
        <v>2</v>
      </c>
      <c r="U65">
        <v>3</v>
      </c>
      <c r="V65">
        <f t="shared" si="10"/>
        <v>1</v>
      </c>
      <c r="W65">
        <v>1</v>
      </c>
      <c r="X65">
        <v>1</v>
      </c>
      <c r="Y65">
        <f t="shared" si="11"/>
        <v>0</v>
      </c>
      <c r="Z65" s="2">
        <v>0</v>
      </c>
      <c r="AA65" s="2">
        <v>1</v>
      </c>
      <c r="AB65" s="2">
        <v>0</v>
      </c>
      <c r="AC65">
        <f t="shared" si="12"/>
        <v>1</v>
      </c>
      <c r="AD65" s="2">
        <v>0</v>
      </c>
      <c r="AE65" s="2">
        <v>0</v>
      </c>
      <c r="AF65" s="2">
        <v>0</v>
      </c>
      <c r="AG65" s="2">
        <v>1</v>
      </c>
      <c r="AH65" s="2">
        <v>0</v>
      </c>
      <c r="AI65" s="2">
        <v>0</v>
      </c>
      <c r="AJ65" s="2">
        <v>0</v>
      </c>
      <c r="AK65" s="2">
        <v>1</v>
      </c>
      <c r="AL65">
        <f t="shared" si="13"/>
        <v>0</v>
      </c>
      <c r="AM65" s="9" t="s">
        <v>39</v>
      </c>
      <c r="AN65" t="s">
        <v>270</v>
      </c>
    </row>
    <row r="66" spans="1:40" x14ac:dyDescent="0.35">
      <c r="A66">
        <v>124</v>
      </c>
      <c r="B66" t="s">
        <v>18</v>
      </c>
      <c r="C66">
        <v>-0.04</v>
      </c>
      <c r="D66" s="2">
        <v>60</v>
      </c>
      <c r="E66" t="s">
        <v>160</v>
      </c>
      <c r="F66" t="s">
        <v>53</v>
      </c>
      <c r="G66" t="s">
        <v>166</v>
      </c>
      <c r="H66">
        <v>0</v>
      </c>
      <c r="I66" s="13">
        <v>0.5</v>
      </c>
      <c r="J66">
        <v>1</v>
      </c>
      <c r="K66" s="2">
        <v>6</v>
      </c>
      <c r="L66">
        <v>8</v>
      </c>
      <c r="M66" s="2">
        <f t="shared" si="7"/>
        <v>2</v>
      </c>
      <c r="N66">
        <v>5</v>
      </c>
      <c r="O66">
        <v>6</v>
      </c>
      <c r="P66">
        <f t="shared" si="8"/>
        <v>1</v>
      </c>
      <c r="Q66">
        <v>3</v>
      </c>
      <c r="R66">
        <v>3</v>
      </c>
      <c r="S66">
        <f t="shared" si="9"/>
        <v>0</v>
      </c>
      <c r="T66">
        <v>2</v>
      </c>
      <c r="U66">
        <v>2</v>
      </c>
      <c r="V66">
        <f t="shared" si="10"/>
        <v>0</v>
      </c>
      <c r="W66">
        <v>2</v>
      </c>
      <c r="X66">
        <v>1</v>
      </c>
      <c r="Y66">
        <f t="shared" si="11"/>
        <v>-1</v>
      </c>
      <c r="Z66" s="2">
        <v>1</v>
      </c>
      <c r="AA66" s="2">
        <v>0</v>
      </c>
      <c r="AB66" s="2">
        <v>0</v>
      </c>
      <c r="AC66">
        <f t="shared" si="12"/>
        <v>0</v>
      </c>
      <c r="AD66" s="2">
        <v>0</v>
      </c>
      <c r="AE66" s="2">
        <v>1</v>
      </c>
      <c r="AF66" s="2">
        <v>0</v>
      </c>
      <c r="AG66" s="2">
        <v>1</v>
      </c>
      <c r="AH66" s="2">
        <v>0</v>
      </c>
      <c r="AI66" s="2">
        <v>0</v>
      </c>
      <c r="AJ66" s="2">
        <v>1</v>
      </c>
      <c r="AK66" s="2">
        <v>0</v>
      </c>
      <c r="AL66">
        <f t="shared" si="13"/>
        <v>0</v>
      </c>
      <c r="AM66" s="2" t="s">
        <v>6</v>
      </c>
      <c r="AN66" t="s">
        <v>269</v>
      </c>
    </row>
    <row r="67" spans="1:40" x14ac:dyDescent="0.35">
      <c r="A67">
        <v>125</v>
      </c>
      <c r="B67" t="s">
        <v>164</v>
      </c>
      <c r="C67">
        <v>0.44</v>
      </c>
      <c r="D67" s="2">
        <v>6</v>
      </c>
      <c r="E67" t="s">
        <v>162</v>
      </c>
      <c r="F67" t="s">
        <v>53</v>
      </c>
      <c r="G67" t="s">
        <v>167</v>
      </c>
      <c r="H67">
        <v>0</v>
      </c>
      <c r="I67" s="13">
        <v>0.5</v>
      </c>
      <c r="J67">
        <v>2</v>
      </c>
      <c r="K67" s="2">
        <v>5</v>
      </c>
      <c r="L67">
        <v>5</v>
      </c>
      <c r="M67" s="2">
        <f t="shared" si="7"/>
        <v>0</v>
      </c>
      <c r="N67">
        <v>7</v>
      </c>
      <c r="O67">
        <v>6</v>
      </c>
      <c r="P67">
        <f t="shared" si="8"/>
        <v>-1</v>
      </c>
      <c r="Q67">
        <v>1</v>
      </c>
      <c r="R67">
        <v>1</v>
      </c>
      <c r="S67">
        <f t="shared" si="9"/>
        <v>0</v>
      </c>
      <c r="T67">
        <v>3</v>
      </c>
      <c r="U67">
        <v>3</v>
      </c>
      <c r="V67">
        <f t="shared" si="10"/>
        <v>0</v>
      </c>
      <c r="W67">
        <v>1</v>
      </c>
      <c r="X67">
        <v>1</v>
      </c>
      <c r="Y67">
        <f t="shared" si="11"/>
        <v>0</v>
      </c>
      <c r="Z67" s="2">
        <v>0</v>
      </c>
      <c r="AA67" s="2">
        <v>1</v>
      </c>
      <c r="AB67" s="2">
        <v>0</v>
      </c>
      <c r="AC67">
        <f t="shared" si="12"/>
        <v>1</v>
      </c>
      <c r="AD67" s="2">
        <v>0</v>
      </c>
      <c r="AE67" s="2">
        <v>1</v>
      </c>
      <c r="AF67" s="2">
        <v>0</v>
      </c>
      <c r="AG67" s="2">
        <v>1</v>
      </c>
      <c r="AH67" s="2">
        <v>0</v>
      </c>
      <c r="AI67" s="2">
        <v>0</v>
      </c>
      <c r="AJ67" s="2">
        <v>1</v>
      </c>
      <c r="AK67" s="2">
        <v>0</v>
      </c>
      <c r="AL67">
        <f t="shared" si="13"/>
        <v>0</v>
      </c>
      <c r="AM67" t="s">
        <v>136</v>
      </c>
      <c r="AN67" t="s">
        <v>270</v>
      </c>
    </row>
    <row r="68" spans="1:40" x14ac:dyDescent="0.35">
      <c r="A68">
        <v>126</v>
      </c>
      <c r="B68" t="s">
        <v>127</v>
      </c>
      <c r="C68" s="9">
        <v>1.81</v>
      </c>
      <c r="D68" s="2">
        <v>18</v>
      </c>
      <c r="E68" t="s">
        <v>61</v>
      </c>
      <c r="F68" t="s">
        <v>55</v>
      </c>
      <c r="G68" t="s">
        <v>166</v>
      </c>
      <c r="H68">
        <v>0</v>
      </c>
      <c r="I68" s="13">
        <v>0.75</v>
      </c>
      <c r="J68">
        <v>1</v>
      </c>
      <c r="K68" s="2">
        <v>3</v>
      </c>
      <c r="L68">
        <v>3</v>
      </c>
      <c r="M68" s="2">
        <f t="shared" si="7"/>
        <v>0</v>
      </c>
      <c r="N68">
        <v>2</v>
      </c>
      <c r="O68">
        <v>2</v>
      </c>
      <c r="P68">
        <f t="shared" si="8"/>
        <v>0</v>
      </c>
      <c r="Q68">
        <v>2</v>
      </c>
      <c r="R68">
        <v>2</v>
      </c>
      <c r="S68">
        <f t="shared" si="9"/>
        <v>0</v>
      </c>
      <c r="T68">
        <v>4</v>
      </c>
      <c r="U68">
        <v>2</v>
      </c>
      <c r="V68">
        <f t="shared" si="10"/>
        <v>-2</v>
      </c>
      <c r="W68">
        <v>1</v>
      </c>
      <c r="X68">
        <v>1</v>
      </c>
      <c r="Y68">
        <f t="shared" si="11"/>
        <v>0</v>
      </c>
      <c r="Z68" s="2">
        <v>0</v>
      </c>
      <c r="AA68" s="2">
        <v>0</v>
      </c>
      <c r="AB68" s="2">
        <v>0</v>
      </c>
      <c r="AC68">
        <f t="shared" si="12"/>
        <v>0</v>
      </c>
      <c r="AD68" s="2">
        <v>0</v>
      </c>
      <c r="AE68" s="2">
        <v>0</v>
      </c>
      <c r="AF68" s="2">
        <v>0</v>
      </c>
      <c r="AG68" s="2">
        <v>1</v>
      </c>
      <c r="AH68" s="2">
        <v>0</v>
      </c>
      <c r="AI68" s="2">
        <v>0</v>
      </c>
      <c r="AJ68" s="2">
        <v>0</v>
      </c>
      <c r="AK68" s="2">
        <v>1</v>
      </c>
      <c r="AL68">
        <f t="shared" si="13"/>
        <v>0</v>
      </c>
      <c r="AM68" t="s">
        <v>43</v>
      </c>
      <c r="AN68" t="s">
        <v>270</v>
      </c>
    </row>
    <row r="69" spans="1:40" x14ac:dyDescent="0.35">
      <c r="A69">
        <v>129</v>
      </c>
      <c r="B69" t="s">
        <v>18</v>
      </c>
      <c r="C69">
        <v>-0.04</v>
      </c>
      <c r="D69" s="2">
        <v>40</v>
      </c>
      <c r="E69" t="s">
        <v>62</v>
      </c>
      <c r="F69" t="s">
        <v>55</v>
      </c>
      <c r="G69" t="s">
        <v>166</v>
      </c>
      <c r="H69">
        <v>0</v>
      </c>
      <c r="I69" s="13">
        <v>0.25</v>
      </c>
      <c r="J69">
        <v>1</v>
      </c>
      <c r="K69" s="2">
        <v>3</v>
      </c>
      <c r="L69">
        <v>5</v>
      </c>
      <c r="M69" s="2">
        <f t="shared" si="7"/>
        <v>2</v>
      </c>
      <c r="N69">
        <v>2</v>
      </c>
      <c r="O69">
        <v>2</v>
      </c>
      <c r="P69">
        <f t="shared" si="8"/>
        <v>0</v>
      </c>
      <c r="Q69">
        <v>2</v>
      </c>
      <c r="R69">
        <v>2</v>
      </c>
      <c r="S69">
        <f t="shared" si="9"/>
        <v>0</v>
      </c>
      <c r="T69">
        <v>1</v>
      </c>
      <c r="U69">
        <v>1</v>
      </c>
      <c r="V69">
        <f t="shared" si="10"/>
        <v>0</v>
      </c>
      <c r="W69">
        <v>2</v>
      </c>
      <c r="X69">
        <v>2</v>
      </c>
      <c r="Y69">
        <f t="shared" si="11"/>
        <v>0</v>
      </c>
      <c r="Z69" s="2">
        <v>0</v>
      </c>
      <c r="AA69" s="2">
        <v>1</v>
      </c>
      <c r="AB69" s="2">
        <v>0</v>
      </c>
      <c r="AC69">
        <f t="shared" si="12"/>
        <v>1</v>
      </c>
      <c r="AD69" s="2">
        <v>1</v>
      </c>
      <c r="AE69" s="2">
        <v>1</v>
      </c>
      <c r="AF69" s="2">
        <v>0</v>
      </c>
      <c r="AG69" s="2">
        <v>1</v>
      </c>
      <c r="AH69" s="2">
        <v>0</v>
      </c>
      <c r="AI69" s="2">
        <v>1</v>
      </c>
      <c r="AJ69" s="2">
        <v>1</v>
      </c>
      <c r="AK69" s="2">
        <v>0</v>
      </c>
      <c r="AL69">
        <f t="shared" si="13"/>
        <v>0</v>
      </c>
      <c r="AM69" t="s">
        <v>136</v>
      </c>
      <c r="AN69" t="s">
        <v>270</v>
      </c>
    </row>
    <row r="70" spans="1:40" x14ac:dyDescent="0.35">
      <c r="A70">
        <v>130</v>
      </c>
      <c r="B70" t="s">
        <v>18</v>
      </c>
      <c r="C70">
        <v>-0.04</v>
      </c>
      <c r="D70" s="2">
        <v>103</v>
      </c>
      <c r="E70" t="s">
        <v>62</v>
      </c>
      <c r="F70" t="s">
        <v>53</v>
      </c>
      <c r="G70" t="s">
        <v>166</v>
      </c>
      <c r="H70">
        <v>0</v>
      </c>
      <c r="I70" s="13">
        <v>0.25</v>
      </c>
      <c r="J70">
        <v>1</v>
      </c>
      <c r="K70" s="2">
        <v>11</v>
      </c>
      <c r="L70">
        <v>10</v>
      </c>
      <c r="M70" s="2">
        <f t="shared" si="7"/>
        <v>-1</v>
      </c>
      <c r="N70">
        <v>7</v>
      </c>
      <c r="O70">
        <v>7</v>
      </c>
      <c r="P70">
        <f t="shared" si="8"/>
        <v>0</v>
      </c>
      <c r="Q70">
        <v>3</v>
      </c>
      <c r="R70">
        <v>3</v>
      </c>
      <c r="S70">
        <f t="shared" si="9"/>
        <v>0</v>
      </c>
      <c r="T70">
        <v>2</v>
      </c>
      <c r="U70">
        <v>2</v>
      </c>
      <c r="V70">
        <f t="shared" si="10"/>
        <v>0</v>
      </c>
      <c r="W70">
        <v>2</v>
      </c>
      <c r="X70">
        <v>2</v>
      </c>
      <c r="Y70">
        <f t="shared" si="11"/>
        <v>0</v>
      </c>
      <c r="Z70" s="2">
        <v>0</v>
      </c>
      <c r="AA70" s="2">
        <v>1</v>
      </c>
      <c r="AB70" s="2">
        <v>0</v>
      </c>
      <c r="AC70">
        <f t="shared" si="12"/>
        <v>1</v>
      </c>
      <c r="AD70" s="2">
        <v>0</v>
      </c>
      <c r="AE70" s="2">
        <v>1</v>
      </c>
      <c r="AF70" s="2">
        <v>0</v>
      </c>
      <c r="AG70" s="2">
        <v>1</v>
      </c>
      <c r="AH70" s="2">
        <v>0</v>
      </c>
      <c r="AI70" s="2">
        <v>1</v>
      </c>
      <c r="AJ70" s="2">
        <v>1</v>
      </c>
      <c r="AK70" s="2">
        <v>1</v>
      </c>
      <c r="AL70">
        <f t="shared" si="13"/>
        <v>0</v>
      </c>
      <c r="AM70" t="s">
        <v>6</v>
      </c>
      <c r="AN70" t="s">
        <v>269</v>
      </c>
    </row>
    <row r="71" spans="1:40" x14ac:dyDescent="0.35">
      <c r="A71">
        <v>134</v>
      </c>
      <c r="B71" t="s">
        <v>18</v>
      </c>
      <c r="C71">
        <v>-0.04</v>
      </c>
      <c r="D71" s="2">
        <v>101</v>
      </c>
      <c r="E71" t="s">
        <v>162</v>
      </c>
      <c r="F71" t="s">
        <v>55</v>
      </c>
      <c r="G71" t="s">
        <v>166</v>
      </c>
      <c r="H71">
        <v>0</v>
      </c>
      <c r="I71" s="13">
        <v>0.25</v>
      </c>
      <c r="J71">
        <v>1</v>
      </c>
      <c r="K71" s="2">
        <v>2</v>
      </c>
      <c r="L71">
        <v>2</v>
      </c>
      <c r="M71" s="2">
        <f t="shared" si="7"/>
        <v>0</v>
      </c>
      <c r="N71">
        <v>7</v>
      </c>
      <c r="O71">
        <v>6</v>
      </c>
      <c r="P71">
        <f t="shared" si="8"/>
        <v>-1</v>
      </c>
      <c r="Q71">
        <v>1</v>
      </c>
      <c r="R71">
        <v>1</v>
      </c>
      <c r="S71">
        <f t="shared" si="9"/>
        <v>0</v>
      </c>
      <c r="T71">
        <v>1</v>
      </c>
      <c r="U71">
        <v>1</v>
      </c>
      <c r="V71">
        <f t="shared" si="10"/>
        <v>0</v>
      </c>
      <c r="W71">
        <v>2</v>
      </c>
      <c r="X71">
        <v>2</v>
      </c>
      <c r="Y71">
        <f t="shared" si="11"/>
        <v>0</v>
      </c>
      <c r="Z71" s="2">
        <v>0</v>
      </c>
      <c r="AA71" s="2">
        <v>0</v>
      </c>
      <c r="AB71" s="2">
        <v>0</v>
      </c>
      <c r="AC71">
        <f t="shared" si="12"/>
        <v>0</v>
      </c>
      <c r="AD71" s="2">
        <v>0</v>
      </c>
      <c r="AE71" s="2">
        <v>0</v>
      </c>
      <c r="AF71" s="2">
        <v>0</v>
      </c>
      <c r="AG71" s="2">
        <v>0</v>
      </c>
      <c r="AH71" s="2">
        <v>0</v>
      </c>
      <c r="AI71" s="2">
        <v>0</v>
      </c>
      <c r="AJ71" s="2">
        <v>0</v>
      </c>
      <c r="AK71" s="2">
        <v>0</v>
      </c>
      <c r="AL71">
        <f t="shared" si="13"/>
        <v>1</v>
      </c>
      <c r="AM71" t="s">
        <v>140</v>
      </c>
      <c r="AN71" t="s">
        <v>271</v>
      </c>
    </row>
    <row r="72" spans="1:40" x14ac:dyDescent="0.35">
      <c r="A72">
        <v>135</v>
      </c>
      <c r="B72" t="s">
        <v>18</v>
      </c>
      <c r="C72">
        <v>-0.04</v>
      </c>
      <c r="D72" s="2">
        <v>100</v>
      </c>
      <c r="E72" t="s">
        <v>160</v>
      </c>
      <c r="F72" t="s">
        <v>59</v>
      </c>
      <c r="G72" t="s">
        <v>167</v>
      </c>
      <c r="H72">
        <v>0</v>
      </c>
      <c r="I72" s="13">
        <v>0.5</v>
      </c>
      <c r="J72">
        <v>1</v>
      </c>
      <c r="K72" s="2">
        <v>2</v>
      </c>
      <c r="L72">
        <v>3</v>
      </c>
      <c r="M72" s="2">
        <f t="shared" si="7"/>
        <v>1</v>
      </c>
      <c r="N72">
        <v>8</v>
      </c>
      <c r="O72">
        <v>8</v>
      </c>
      <c r="P72">
        <f t="shared" si="8"/>
        <v>0</v>
      </c>
      <c r="Q72">
        <v>3</v>
      </c>
      <c r="R72">
        <v>3</v>
      </c>
      <c r="S72">
        <f t="shared" si="9"/>
        <v>0</v>
      </c>
      <c r="T72">
        <v>1</v>
      </c>
      <c r="U72">
        <v>2</v>
      </c>
      <c r="V72">
        <f t="shared" si="10"/>
        <v>1</v>
      </c>
      <c r="W72">
        <v>1</v>
      </c>
      <c r="X72">
        <v>2</v>
      </c>
      <c r="Y72">
        <f t="shared" si="11"/>
        <v>1</v>
      </c>
      <c r="Z72" s="2">
        <v>0</v>
      </c>
      <c r="AA72" s="2">
        <v>1</v>
      </c>
      <c r="AB72" s="2">
        <v>0</v>
      </c>
      <c r="AC72">
        <f t="shared" si="12"/>
        <v>1</v>
      </c>
      <c r="AD72" s="2">
        <v>0</v>
      </c>
      <c r="AE72" s="2">
        <v>1</v>
      </c>
      <c r="AF72" s="2">
        <v>0</v>
      </c>
      <c r="AG72" s="2">
        <v>1</v>
      </c>
      <c r="AH72" s="2">
        <v>0</v>
      </c>
      <c r="AI72" s="2">
        <v>0</v>
      </c>
      <c r="AJ72" s="2">
        <v>0</v>
      </c>
      <c r="AK72" s="2">
        <v>0</v>
      </c>
      <c r="AL72">
        <f t="shared" si="13"/>
        <v>0</v>
      </c>
      <c r="AM72" t="s">
        <v>136</v>
      </c>
      <c r="AN72" t="s">
        <v>270</v>
      </c>
    </row>
    <row r="73" spans="1:40" x14ac:dyDescent="0.35">
      <c r="A73">
        <v>136</v>
      </c>
      <c r="B73" t="s">
        <v>18</v>
      </c>
      <c r="C73">
        <v>-0.04</v>
      </c>
      <c r="D73" s="2">
        <v>40</v>
      </c>
      <c r="E73" t="s">
        <v>160</v>
      </c>
      <c r="F73" t="s">
        <v>53</v>
      </c>
      <c r="G73" t="s">
        <v>167</v>
      </c>
      <c r="H73">
        <v>0</v>
      </c>
      <c r="I73" s="13">
        <v>0.75</v>
      </c>
      <c r="J73">
        <v>1</v>
      </c>
      <c r="K73" s="2">
        <v>3</v>
      </c>
      <c r="L73">
        <v>3</v>
      </c>
      <c r="M73" s="2">
        <f t="shared" si="7"/>
        <v>0</v>
      </c>
      <c r="N73">
        <v>10</v>
      </c>
      <c r="O73">
        <v>8</v>
      </c>
      <c r="P73">
        <f t="shared" si="8"/>
        <v>-2</v>
      </c>
      <c r="Q73">
        <v>3</v>
      </c>
      <c r="R73">
        <v>3</v>
      </c>
      <c r="S73">
        <f t="shared" si="9"/>
        <v>0</v>
      </c>
      <c r="T73">
        <v>3</v>
      </c>
      <c r="U73">
        <v>4</v>
      </c>
      <c r="V73">
        <f t="shared" si="10"/>
        <v>1</v>
      </c>
      <c r="W73">
        <v>1</v>
      </c>
      <c r="X73">
        <v>1</v>
      </c>
      <c r="Y73">
        <f t="shared" si="11"/>
        <v>0</v>
      </c>
      <c r="Z73" s="2">
        <v>0</v>
      </c>
      <c r="AA73" s="2">
        <v>0</v>
      </c>
      <c r="AB73" s="2">
        <v>0</v>
      </c>
      <c r="AC73">
        <f t="shared" si="12"/>
        <v>0</v>
      </c>
      <c r="AD73" s="2">
        <v>0</v>
      </c>
      <c r="AE73" s="2">
        <v>1</v>
      </c>
      <c r="AF73" s="2">
        <v>0</v>
      </c>
      <c r="AG73" s="2">
        <v>1</v>
      </c>
      <c r="AH73" s="2">
        <v>0</v>
      </c>
      <c r="AI73" s="2">
        <v>0</v>
      </c>
      <c r="AJ73" s="2">
        <v>1</v>
      </c>
      <c r="AK73" s="2">
        <v>0</v>
      </c>
      <c r="AL73">
        <f t="shared" si="13"/>
        <v>0</v>
      </c>
      <c r="AM73" t="s">
        <v>6</v>
      </c>
      <c r="AN73" t="s">
        <v>269</v>
      </c>
    </row>
    <row r="74" spans="1:40" x14ac:dyDescent="0.35">
      <c r="A74">
        <v>137</v>
      </c>
      <c r="B74" t="s">
        <v>18</v>
      </c>
      <c r="C74">
        <v>-0.04</v>
      </c>
      <c r="D74" s="2">
        <v>101</v>
      </c>
      <c r="E74" t="s">
        <v>160</v>
      </c>
      <c r="F74" t="s">
        <v>53</v>
      </c>
      <c r="G74" t="s">
        <v>167</v>
      </c>
      <c r="H74">
        <v>0</v>
      </c>
      <c r="I74" s="13">
        <v>1</v>
      </c>
      <c r="J74">
        <v>1</v>
      </c>
      <c r="K74" s="2">
        <v>2</v>
      </c>
      <c r="L74">
        <v>2</v>
      </c>
      <c r="M74" s="2">
        <f t="shared" si="7"/>
        <v>0</v>
      </c>
      <c r="N74">
        <v>5</v>
      </c>
      <c r="O74">
        <v>4</v>
      </c>
      <c r="P74">
        <f t="shared" si="8"/>
        <v>-1</v>
      </c>
      <c r="Q74">
        <v>3</v>
      </c>
      <c r="R74">
        <v>3</v>
      </c>
      <c r="S74">
        <f t="shared" si="9"/>
        <v>0</v>
      </c>
      <c r="T74">
        <v>3</v>
      </c>
      <c r="U74">
        <v>3</v>
      </c>
      <c r="V74">
        <f t="shared" si="10"/>
        <v>0</v>
      </c>
      <c r="W74">
        <v>1</v>
      </c>
      <c r="X74">
        <v>1</v>
      </c>
      <c r="Y74">
        <f t="shared" si="11"/>
        <v>0</v>
      </c>
      <c r="Z74" s="2">
        <v>0</v>
      </c>
      <c r="AA74" s="2">
        <v>1</v>
      </c>
      <c r="AB74" s="2">
        <v>0</v>
      </c>
      <c r="AC74">
        <f t="shared" si="12"/>
        <v>1</v>
      </c>
      <c r="AD74" s="2">
        <v>1</v>
      </c>
      <c r="AE74" s="2">
        <v>1</v>
      </c>
      <c r="AF74" s="2">
        <v>0</v>
      </c>
      <c r="AG74" s="2">
        <v>1</v>
      </c>
      <c r="AH74" s="2">
        <v>0</v>
      </c>
      <c r="AI74" s="2">
        <v>0</v>
      </c>
      <c r="AJ74" s="2">
        <v>1</v>
      </c>
      <c r="AK74" s="2">
        <v>1</v>
      </c>
      <c r="AL74">
        <f t="shared" si="13"/>
        <v>0</v>
      </c>
      <c r="AM74" t="s">
        <v>136</v>
      </c>
      <c r="AN74" t="s">
        <v>270</v>
      </c>
    </row>
    <row r="75" spans="1:40" x14ac:dyDescent="0.35">
      <c r="A75">
        <v>139</v>
      </c>
      <c r="B75" t="s">
        <v>16</v>
      </c>
      <c r="C75">
        <v>1.61</v>
      </c>
      <c r="D75" s="2">
        <v>7</v>
      </c>
      <c r="E75" t="s">
        <v>52</v>
      </c>
      <c r="F75" t="s">
        <v>56</v>
      </c>
      <c r="G75" t="s">
        <v>167</v>
      </c>
      <c r="H75">
        <v>0</v>
      </c>
      <c r="I75" s="13">
        <v>1</v>
      </c>
      <c r="J75">
        <v>2</v>
      </c>
      <c r="K75" s="2">
        <v>9</v>
      </c>
      <c r="L75">
        <v>8</v>
      </c>
      <c r="M75" s="2">
        <f t="shared" si="7"/>
        <v>-1</v>
      </c>
      <c r="N75">
        <v>9</v>
      </c>
      <c r="O75">
        <v>6</v>
      </c>
      <c r="P75">
        <f t="shared" si="8"/>
        <v>-3</v>
      </c>
      <c r="Q75">
        <v>3</v>
      </c>
      <c r="R75">
        <v>3</v>
      </c>
      <c r="S75">
        <f t="shared" si="9"/>
        <v>0</v>
      </c>
      <c r="T75">
        <v>2</v>
      </c>
      <c r="U75">
        <v>1</v>
      </c>
      <c r="V75">
        <f t="shared" si="10"/>
        <v>-1</v>
      </c>
      <c r="W75">
        <v>1</v>
      </c>
      <c r="X75">
        <v>2</v>
      </c>
      <c r="Y75">
        <f t="shared" si="11"/>
        <v>1</v>
      </c>
      <c r="Z75" s="2">
        <v>0</v>
      </c>
      <c r="AA75" s="2">
        <v>0</v>
      </c>
      <c r="AB75" s="2">
        <v>0</v>
      </c>
      <c r="AC75">
        <f t="shared" si="12"/>
        <v>0</v>
      </c>
      <c r="AD75" s="2">
        <v>1</v>
      </c>
      <c r="AE75" s="2">
        <v>1</v>
      </c>
      <c r="AF75" s="2">
        <v>0</v>
      </c>
      <c r="AG75" s="2">
        <v>1</v>
      </c>
      <c r="AH75" s="2">
        <v>0</v>
      </c>
      <c r="AI75" s="2">
        <v>0</v>
      </c>
      <c r="AJ75" s="2">
        <v>1</v>
      </c>
      <c r="AK75" s="2">
        <v>1</v>
      </c>
      <c r="AL75">
        <f t="shared" si="13"/>
        <v>0</v>
      </c>
      <c r="AM75" t="s">
        <v>6</v>
      </c>
      <c r="AN75" t="s">
        <v>269</v>
      </c>
    </row>
    <row r="76" spans="1:40" x14ac:dyDescent="0.35">
      <c r="A76">
        <v>140</v>
      </c>
      <c r="B76" t="s">
        <v>16</v>
      </c>
      <c r="C76">
        <v>1.61</v>
      </c>
      <c r="D76" s="2">
        <v>7</v>
      </c>
      <c r="E76" t="s">
        <v>52</v>
      </c>
      <c r="F76" t="s">
        <v>53</v>
      </c>
      <c r="G76" t="s">
        <v>167</v>
      </c>
      <c r="H76">
        <v>0</v>
      </c>
      <c r="I76" s="13">
        <v>0.25</v>
      </c>
      <c r="J76">
        <v>2</v>
      </c>
      <c r="K76" s="2">
        <v>4</v>
      </c>
      <c r="L76">
        <v>4</v>
      </c>
      <c r="M76" s="2">
        <f t="shared" si="7"/>
        <v>0</v>
      </c>
      <c r="N76">
        <v>9</v>
      </c>
      <c r="O76">
        <v>9</v>
      </c>
      <c r="P76">
        <f t="shared" si="8"/>
        <v>0</v>
      </c>
      <c r="Q76">
        <v>3</v>
      </c>
      <c r="R76">
        <v>3</v>
      </c>
      <c r="S76">
        <f t="shared" si="9"/>
        <v>0</v>
      </c>
      <c r="T76">
        <v>2</v>
      </c>
      <c r="U76">
        <v>3</v>
      </c>
      <c r="V76">
        <f t="shared" si="10"/>
        <v>1</v>
      </c>
      <c r="W76">
        <v>2</v>
      </c>
      <c r="X76">
        <v>2</v>
      </c>
      <c r="Y76">
        <f t="shared" si="11"/>
        <v>0</v>
      </c>
      <c r="Z76" s="2">
        <v>0</v>
      </c>
      <c r="AA76" s="2">
        <v>0</v>
      </c>
      <c r="AB76" s="2">
        <v>0</v>
      </c>
      <c r="AC76">
        <f t="shared" si="12"/>
        <v>0</v>
      </c>
      <c r="AD76" s="2">
        <v>1</v>
      </c>
      <c r="AE76" s="2">
        <v>0</v>
      </c>
      <c r="AF76" s="2">
        <v>0</v>
      </c>
      <c r="AG76" s="2">
        <v>0</v>
      </c>
      <c r="AH76" s="2">
        <v>0</v>
      </c>
      <c r="AI76" s="2">
        <v>0</v>
      </c>
      <c r="AJ76" s="2">
        <v>0</v>
      </c>
      <c r="AK76" s="2">
        <v>0</v>
      </c>
      <c r="AL76">
        <f t="shared" si="13"/>
        <v>0</v>
      </c>
      <c r="AM76" t="s">
        <v>138</v>
      </c>
      <c r="AN76" t="s">
        <v>270</v>
      </c>
    </row>
    <row r="77" spans="1:40" x14ac:dyDescent="0.35">
      <c r="A77">
        <v>141</v>
      </c>
      <c r="B77" t="s">
        <v>16</v>
      </c>
      <c r="C77">
        <v>1.61</v>
      </c>
      <c r="D77" s="2">
        <v>17</v>
      </c>
      <c r="E77" t="s">
        <v>52</v>
      </c>
      <c r="F77" t="s">
        <v>53</v>
      </c>
      <c r="G77" t="s">
        <v>166</v>
      </c>
      <c r="H77">
        <v>0</v>
      </c>
      <c r="I77" s="13">
        <v>0.5</v>
      </c>
      <c r="J77">
        <v>2</v>
      </c>
      <c r="K77" s="2">
        <v>3</v>
      </c>
      <c r="L77">
        <v>1</v>
      </c>
      <c r="M77" s="2">
        <f t="shared" si="7"/>
        <v>-2</v>
      </c>
      <c r="N77">
        <v>8</v>
      </c>
      <c r="O77">
        <v>3</v>
      </c>
      <c r="P77">
        <f t="shared" si="8"/>
        <v>-5</v>
      </c>
      <c r="Q77">
        <v>1</v>
      </c>
      <c r="R77">
        <v>1</v>
      </c>
      <c r="S77">
        <f t="shared" si="9"/>
        <v>0</v>
      </c>
      <c r="T77">
        <v>3</v>
      </c>
      <c r="U77">
        <v>4</v>
      </c>
      <c r="V77">
        <f t="shared" si="10"/>
        <v>1</v>
      </c>
      <c r="W77">
        <v>2</v>
      </c>
      <c r="X77">
        <v>2</v>
      </c>
      <c r="Y77">
        <f t="shared" si="11"/>
        <v>0</v>
      </c>
      <c r="Z77" s="2">
        <v>1</v>
      </c>
      <c r="AA77" s="2">
        <v>1</v>
      </c>
      <c r="AB77" s="2">
        <v>0</v>
      </c>
      <c r="AC77">
        <f t="shared" si="12"/>
        <v>1</v>
      </c>
      <c r="AD77" s="2">
        <v>1</v>
      </c>
      <c r="AE77" s="2">
        <v>1</v>
      </c>
      <c r="AF77" s="2">
        <v>0</v>
      </c>
      <c r="AG77" s="2">
        <v>1</v>
      </c>
      <c r="AH77" s="2">
        <v>0</v>
      </c>
      <c r="AI77" s="2">
        <v>0</v>
      </c>
      <c r="AJ77" s="2">
        <v>0</v>
      </c>
      <c r="AK77" s="2">
        <v>1</v>
      </c>
      <c r="AL77">
        <f t="shared" si="13"/>
        <v>0</v>
      </c>
      <c r="AM77" t="s">
        <v>6</v>
      </c>
      <c r="AN77" t="s">
        <v>269</v>
      </c>
    </row>
    <row r="78" spans="1:40" x14ac:dyDescent="0.35">
      <c r="A78">
        <v>142</v>
      </c>
      <c r="B78" t="s">
        <v>18</v>
      </c>
      <c r="C78">
        <v>-0.04</v>
      </c>
      <c r="D78" s="2">
        <v>103</v>
      </c>
      <c r="E78" t="s">
        <v>62</v>
      </c>
      <c r="F78" t="s">
        <v>53</v>
      </c>
      <c r="G78" t="s">
        <v>166</v>
      </c>
      <c r="H78">
        <v>0</v>
      </c>
      <c r="I78" s="13">
        <v>0.25</v>
      </c>
      <c r="J78">
        <v>1</v>
      </c>
      <c r="K78" s="2">
        <v>1</v>
      </c>
      <c r="L78">
        <v>2</v>
      </c>
      <c r="M78" s="2">
        <f t="shared" si="7"/>
        <v>1</v>
      </c>
      <c r="N78">
        <v>2</v>
      </c>
      <c r="O78">
        <v>4</v>
      </c>
      <c r="P78">
        <f t="shared" si="8"/>
        <v>2</v>
      </c>
      <c r="Q78">
        <v>1</v>
      </c>
      <c r="R78">
        <v>2</v>
      </c>
      <c r="S78">
        <f t="shared" si="9"/>
        <v>1</v>
      </c>
      <c r="T78">
        <v>2</v>
      </c>
      <c r="U78">
        <v>2</v>
      </c>
      <c r="V78">
        <f t="shared" si="10"/>
        <v>0</v>
      </c>
      <c r="W78">
        <v>2</v>
      </c>
      <c r="X78">
        <v>1</v>
      </c>
      <c r="Y78">
        <f t="shared" si="11"/>
        <v>-1</v>
      </c>
      <c r="Z78" s="2">
        <v>0</v>
      </c>
      <c r="AA78" s="2">
        <v>0</v>
      </c>
      <c r="AB78" s="2">
        <v>0</v>
      </c>
      <c r="AC78">
        <f t="shared" si="12"/>
        <v>0</v>
      </c>
      <c r="AD78" s="2">
        <v>0</v>
      </c>
      <c r="AE78" s="2">
        <v>1</v>
      </c>
      <c r="AF78" s="2">
        <v>0</v>
      </c>
      <c r="AG78" s="2">
        <v>1</v>
      </c>
      <c r="AH78" s="2">
        <v>1</v>
      </c>
      <c r="AI78" s="2">
        <v>1</v>
      </c>
      <c r="AJ78" s="2">
        <v>1</v>
      </c>
      <c r="AK78" s="2">
        <v>0</v>
      </c>
      <c r="AL78">
        <f t="shared" si="13"/>
        <v>0</v>
      </c>
      <c r="AM78" t="s">
        <v>47</v>
      </c>
      <c r="AN78" t="s">
        <v>269</v>
      </c>
    </row>
    <row r="79" spans="1:40" x14ac:dyDescent="0.35">
      <c r="A79">
        <v>144</v>
      </c>
      <c r="B79" t="s">
        <v>127</v>
      </c>
      <c r="C79" s="9">
        <v>1.81</v>
      </c>
      <c r="D79" s="2">
        <v>56</v>
      </c>
      <c r="E79" t="s">
        <v>61</v>
      </c>
      <c r="F79" t="s">
        <v>53</v>
      </c>
      <c r="G79" t="s">
        <v>166</v>
      </c>
      <c r="H79">
        <v>0</v>
      </c>
      <c r="I79" s="13">
        <v>0.25</v>
      </c>
      <c r="J79">
        <v>1</v>
      </c>
      <c r="K79" s="2">
        <v>3</v>
      </c>
      <c r="L79">
        <v>3</v>
      </c>
      <c r="M79" s="2">
        <f t="shared" si="7"/>
        <v>0</v>
      </c>
      <c r="N79">
        <v>7</v>
      </c>
      <c r="O79">
        <v>7</v>
      </c>
      <c r="P79">
        <f t="shared" si="8"/>
        <v>0</v>
      </c>
      <c r="Q79">
        <v>3</v>
      </c>
      <c r="R79">
        <v>3</v>
      </c>
      <c r="S79">
        <f t="shared" si="9"/>
        <v>0</v>
      </c>
      <c r="T79">
        <v>3</v>
      </c>
      <c r="U79">
        <v>2</v>
      </c>
      <c r="V79">
        <f t="shared" si="10"/>
        <v>-1</v>
      </c>
      <c r="W79">
        <v>1</v>
      </c>
      <c r="X79">
        <v>1</v>
      </c>
      <c r="Y79">
        <f t="shared" si="11"/>
        <v>0</v>
      </c>
      <c r="Z79" s="2">
        <v>0</v>
      </c>
      <c r="AA79" s="2">
        <v>0</v>
      </c>
      <c r="AB79" s="2">
        <v>0</v>
      </c>
      <c r="AC79">
        <f t="shared" si="12"/>
        <v>0</v>
      </c>
      <c r="AD79" s="2">
        <v>0</v>
      </c>
      <c r="AE79" s="2">
        <v>1</v>
      </c>
      <c r="AF79" s="2">
        <v>0</v>
      </c>
      <c r="AG79" s="2">
        <v>1</v>
      </c>
      <c r="AH79" s="2">
        <v>0</v>
      </c>
      <c r="AI79" s="2">
        <v>0</v>
      </c>
      <c r="AJ79" s="2">
        <v>0</v>
      </c>
      <c r="AK79" s="2">
        <v>1</v>
      </c>
      <c r="AL79">
        <f t="shared" si="13"/>
        <v>0</v>
      </c>
      <c r="AM79" t="s">
        <v>43</v>
      </c>
      <c r="AN79" t="s">
        <v>270</v>
      </c>
    </row>
    <row r="80" spans="1:40" x14ac:dyDescent="0.35">
      <c r="A80">
        <v>145</v>
      </c>
      <c r="B80" t="s">
        <v>16</v>
      </c>
      <c r="C80">
        <v>1.61</v>
      </c>
      <c r="D80" s="5">
        <v>7</v>
      </c>
      <c r="E80" t="s">
        <v>160</v>
      </c>
      <c r="F80" t="s">
        <v>59</v>
      </c>
      <c r="G80" t="s">
        <v>166</v>
      </c>
      <c r="H80">
        <v>0</v>
      </c>
      <c r="I80" s="13">
        <v>0.75</v>
      </c>
      <c r="J80">
        <v>2</v>
      </c>
      <c r="K80" s="2">
        <v>13</v>
      </c>
      <c r="L80">
        <v>12</v>
      </c>
      <c r="M80" s="2">
        <f t="shared" si="7"/>
        <v>-1</v>
      </c>
      <c r="N80">
        <v>9</v>
      </c>
      <c r="O80">
        <v>6</v>
      </c>
      <c r="P80">
        <f t="shared" si="8"/>
        <v>-3</v>
      </c>
      <c r="Q80">
        <v>3</v>
      </c>
      <c r="R80">
        <v>3</v>
      </c>
      <c r="S80">
        <f t="shared" si="9"/>
        <v>0</v>
      </c>
      <c r="T80">
        <v>2</v>
      </c>
      <c r="U80">
        <v>1</v>
      </c>
      <c r="V80">
        <f t="shared" si="10"/>
        <v>-1</v>
      </c>
      <c r="W80">
        <v>2</v>
      </c>
      <c r="X80">
        <v>1</v>
      </c>
      <c r="Y80">
        <f t="shared" si="11"/>
        <v>-1</v>
      </c>
      <c r="Z80" s="2">
        <v>0</v>
      </c>
      <c r="AA80" s="2">
        <v>0</v>
      </c>
      <c r="AB80" s="2">
        <v>1</v>
      </c>
      <c r="AC80">
        <f t="shared" si="12"/>
        <v>1</v>
      </c>
      <c r="AD80" s="2">
        <v>0</v>
      </c>
      <c r="AE80" s="2">
        <v>1</v>
      </c>
      <c r="AF80" s="2">
        <v>0</v>
      </c>
      <c r="AG80" s="2">
        <v>1</v>
      </c>
      <c r="AH80" s="2">
        <v>0</v>
      </c>
      <c r="AI80" s="2">
        <v>1</v>
      </c>
      <c r="AJ80" s="2">
        <v>1</v>
      </c>
      <c r="AK80" s="2">
        <v>1</v>
      </c>
      <c r="AL80">
        <f t="shared" si="13"/>
        <v>0</v>
      </c>
      <c r="AM80" s="9" t="s">
        <v>39</v>
      </c>
      <c r="AN80" t="s">
        <v>270</v>
      </c>
    </row>
    <row r="81" spans="1:40" x14ac:dyDescent="0.35">
      <c r="A81">
        <v>147</v>
      </c>
      <c r="B81" t="s">
        <v>18</v>
      </c>
      <c r="C81">
        <v>-0.04</v>
      </c>
      <c r="D81" s="2">
        <v>13</v>
      </c>
      <c r="E81" t="s">
        <v>62</v>
      </c>
      <c r="F81" t="s">
        <v>59</v>
      </c>
      <c r="G81" t="s">
        <v>166</v>
      </c>
      <c r="H81">
        <v>0</v>
      </c>
      <c r="I81" s="13">
        <v>0.25</v>
      </c>
      <c r="J81">
        <v>1</v>
      </c>
      <c r="K81" s="2">
        <v>1</v>
      </c>
      <c r="L81">
        <v>1</v>
      </c>
      <c r="M81" s="2">
        <f t="shared" si="7"/>
        <v>0</v>
      </c>
      <c r="N81">
        <v>2</v>
      </c>
      <c r="O81">
        <v>2</v>
      </c>
      <c r="P81">
        <f t="shared" si="8"/>
        <v>0</v>
      </c>
      <c r="Q81">
        <v>1</v>
      </c>
      <c r="R81">
        <v>1</v>
      </c>
      <c r="S81">
        <f t="shared" si="9"/>
        <v>0</v>
      </c>
      <c r="T81">
        <v>1</v>
      </c>
      <c r="U81">
        <v>1</v>
      </c>
      <c r="V81">
        <f t="shared" si="10"/>
        <v>0</v>
      </c>
      <c r="Z81" s="2">
        <v>0</v>
      </c>
      <c r="AA81" s="2">
        <v>1</v>
      </c>
      <c r="AB81" s="2">
        <v>0</v>
      </c>
      <c r="AC81">
        <f t="shared" si="12"/>
        <v>1</v>
      </c>
      <c r="AD81" s="2">
        <v>0</v>
      </c>
      <c r="AE81" s="2">
        <v>1</v>
      </c>
      <c r="AF81" s="2">
        <v>0</v>
      </c>
      <c r="AG81" s="2">
        <v>1</v>
      </c>
      <c r="AH81" s="2">
        <v>1</v>
      </c>
      <c r="AI81" s="2">
        <v>1</v>
      </c>
      <c r="AJ81" s="2">
        <v>1</v>
      </c>
      <c r="AK81" s="2">
        <v>0</v>
      </c>
      <c r="AL81">
        <f t="shared" si="13"/>
        <v>0</v>
      </c>
      <c r="AM81" t="s">
        <v>136</v>
      </c>
      <c r="AN81" t="s">
        <v>270</v>
      </c>
    </row>
    <row r="82" spans="1:40" x14ac:dyDescent="0.35">
      <c r="A82">
        <v>148</v>
      </c>
      <c r="B82" t="s">
        <v>127</v>
      </c>
      <c r="C82" s="9">
        <v>1.81</v>
      </c>
      <c r="D82" s="2">
        <v>89</v>
      </c>
      <c r="E82" t="s">
        <v>61</v>
      </c>
      <c r="F82" t="s">
        <v>53</v>
      </c>
      <c r="G82" t="s">
        <v>166</v>
      </c>
      <c r="H82">
        <v>0</v>
      </c>
      <c r="I82" s="13">
        <v>0.25</v>
      </c>
      <c r="J82">
        <v>1</v>
      </c>
      <c r="K82" s="2">
        <v>3</v>
      </c>
      <c r="L82">
        <v>3</v>
      </c>
      <c r="M82" s="2">
        <f t="shared" si="7"/>
        <v>0</v>
      </c>
      <c r="N82">
        <v>8</v>
      </c>
      <c r="O82">
        <v>8</v>
      </c>
      <c r="P82">
        <f t="shared" si="8"/>
        <v>0</v>
      </c>
      <c r="Q82">
        <v>1</v>
      </c>
      <c r="R82">
        <v>1</v>
      </c>
      <c r="S82">
        <f t="shared" si="9"/>
        <v>0</v>
      </c>
      <c r="T82">
        <v>1</v>
      </c>
      <c r="U82">
        <v>2</v>
      </c>
      <c r="V82">
        <f t="shared" si="10"/>
        <v>1</v>
      </c>
      <c r="W82">
        <v>0</v>
      </c>
      <c r="X82">
        <v>0</v>
      </c>
      <c r="Y82">
        <f t="shared" si="11"/>
        <v>0</v>
      </c>
      <c r="Z82" s="2">
        <v>0</v>
      </c>
      <c r="AA82" s="2">
        <v>0</v>
      </c>
      <c r="AB82" s="2">
        <v>0</v>
      </c>
      <c r="AC82">
        <f t="shared" si="12"/>
        <v>0</v>
      </c>
      <c r="AD82" s="2">
        <v>0</v>
      </c>
      <c r="AE82" s="2">
        <v>0</v>
      </c>
      <c r="AF82" s="2">
        <v>0</v>
      </c>
      <c r="AG82" s="2">
        <v>1</v>
      </c>
      <c r="AH82" s="2">
        <v>0</v>
      </c>
      <c r="AI82" s="2">
        <v>0</v>
      </c>
      <c r="AJ82" s="2">
        <v>0</v>
      </c>
      <c r="AK82" s="2">
        <v>1</v>
      </c>
      <c r="AL82">
        <f t="shared" si="13"/>
        <v>0</v>
      </c>
      <c r="AM82" t="s">
        <v>43</v>
      </c>
      <c r="AN82" t="s">
        <v>270</v>
      </c>
    </row>
    <row r="83" spans="1:40" x14ac:dyDescent="0.35">
      <c r="A83">
        <v>149</v>
      </c>
      <c r="B83" t="s">
        <v>18</v>
      </c>
      <c r="C83">
        <v>-0.04</v>
      </c>
      <c r="D83" s="2">
        <v>60</v>
      </c>
      <c r="E83" t="s">
        <v>62</v>
      </c>
      <c r="F83" t="s">
        <v>59</v>
      </c>
      <c r="G83" t="s">
        <v>166</v>
      </c>
      <c r="H83">
        <v>0</v>
      </c>
      <c r="I83" s="13">
        <v>0.25</v>
      </c>
      <c r="J83">
        <v>1</v>
      </c>
      <c r="K83" s="2">
        <v>6</v>
      </c>
      <c r="L83">
        <v>6</v>
      </c>
      <c r="M83" s="2">
        <f t="shared" si="7"/>
        <v>0</v>
      </c>
      <c r="N83">
        <v>6</v>
      </c>
      <c r="O83">
        <v>5</v>
      </c>
      <c r="P83">
        <f t="shared" si="8"/>
        <v>-1</v>
      </c>
      <c r="Q83">
        <v>2</v>
      </c>
      <c r="R83">
        <v>2</v>
      </c>
      <c r="S83">
        <f t="shared" si="9"/>
        <v>0</v>
      </c>
      <c r="T83">
        <v>3</v>
      </c>
      <c r="U83">
        <v>2</v>
      </c>
      <c r="V83">
        <f t="shared" si="10"/>
        <v>-1</v>
      </c>
      <c r="W83">
        <v>2</v>
      </c>
      <c r="X83">
        <v>2</v>
      </c>
      <c r="Y83">
        <f t="shared" si="11"/>
        <v>0</v>
      </c>
      <c r="Z83" s="2">
        <v>0</v>
      </c>
      <c r="AA83" s="2">
        <v>0</v>
      </c>
      <c r="AB83" s="2">
        <v>0</v>
      </c>
      <c r="AC83">
        <f t="shared" si="12"/>
        <v>0</v>
      </c>
      <c r="AD83" s="2">
        <v>0</v>
      </c>
      <c r="AE83" s="2">
        <v>1</v>
      </c>
      <c r="AF83" s="2">
        <v>0</v>
      </c>
      <c r="AG83" s="2">
        <v>1</v>
      </c>
      <c r="AH83" s="2">
        <v>0</v>
      </c>
      <c r="AI83" s="2">
        <v>0</v>
      </c>
      <c r="AJ83" s="2">
        <v>1</v>
      </c>
      <c r="AK83" s="2">
        <v>0</v>
      </c>
      <c r="AL83">
        <f t="shared" si="13"/>
        <v>0</v>
      </c>
      <c r="AM83" t="s">
        <v>6</v>
      </c>
      <c r="AN83" t="s">
        <v>269</v>
      </c>
    </row>
    <row r="84" spans="1:40" x14ac:dyDescent="0.35">
      <c r="A84">
        <v>150</v>
      </c>
      <c r="B84" t="s">
        <v>127</v>
      </c>
      <c r="C84" s="9">
        <v>1.81</v>
      </c>
      <c r="D84" s="2">
        <v>47</v>
      </c>
      <c r="E84" t="s">
        <v>61</v>
      </c>
      <c r="F84" t="s">
        <v>53</v>
      </c>
      <c r="G84" t="s">
        <v>167</v>
      </c>
      <c r="H84">
        <v>0</v>
      </c>
      <c r="I84" s="13">
        <v>0.25</v>
      </c>
      <c r="J84">
        <v>1</v>
      </c>
      <c r="K84" s="2">
        <v>8</v>
      </c>
      <c r="L84">
        <v>8</v>
      </c>
      <c r="M84" s="2">
        <f t="shared" si="7"/>
        <v>0</v>
      </c>
      <c r="N84">
        <v>4</v>
      </c>
      <c r="O84">
        <v>4</v>
      </c>
      <c r="P84">
        <f t="shared" si="8"/>
        <v>0</v>
      </c>
      <c r="Q84">
        <v>1</v>
      </c>
      <c r="R84">
        <v>1</v>
      </c>
      <c r="S84">
        <f t="shared" si="9"/>
        <v>0</v>
      </c>
      <c r="T84">
        <v>1</v>
      </c>
      <c r="U84">
        <v>2</v>
      </c>
      <c r="V84">
        <f t="shared" si="10"/>
        <v>1</v>
      </c>
      <c r="W84">
        <v>1</v>
      </c>
      <c r="X84">
        <v>1</v>
      </c>
      <c r="Y84">
        <f t="shared" si="11"/>
        <v>0</v>
      </c>
      <c r="Z84" s="2">
        <v>0</v>
      </c>
      <c r="AA84" s="2">
        <v>0</v>
      </c>
      <c r="AB84" s="2">
        <v>0</v>
      </c>
      <c r="AC84" s="2">
        <f t="shared" si="12"/>
        <v>0</v>
      </c>
      <c r="AD84" s="2">
        <v>0</v>
      </c>
      <c r="AE84" s="2">
        <v>1</v>
      </c>
      <c r="AF84" s="2">
        <v>0</v>
      </c>
      <c r="AG84" s="2">
        <v>1</v>
      </c>
      <c r="AH84" s="2">
        <v>0</v>
      </c>
      <c r="AI84" s="2">
        <v>1</v>
      </c>
      <c r="AJ84" s="2">
        <v>1</v>
      </c>
      <c r="AK84" s="2">
        <v>0</v>
      </c>
      <c r="AL84">
        <f t="shared" si="13"/>
        <v>0</v>
      </c>
      <c r="AM84" t="s">
        <v>6</v>
      </c>
      <c r="AN84" t="s">
        <v>269</v>
      </c>
    </row>
    <row r="85" spans="1:40" x14ac:dyDescent="0.35">
      <c r="A85">
        <v>151</v>
      </c>
      <c r="B85" t="s">
        <v>18</v>
      </c>
      <c r="C85">
        <v>-0.04</v>
      </c>
      <c r="D85" s="2">
        <v>138</v>
      </c>
      <c r="E85" t="s">
        <v>62</v>
      </c>
      <c r="F85" t="s">
        <v>55</v>
      </c>
      <c r="G85" t="s">
        <v>166</v>
      </c>
      <c r="H85">
        <v>0</v>
      </c>
      <c r="I85" s="13">
        <v>0.25</v>
      </c>
      <c r="J85">
        <v>1</v>
      </c>
      <c r="K85" s="2">
        <v>3</v>
      </c>
      <c r="L85">
        <v>3</v>
      </c>
      <c r="M85" s="2">
        <f t="shared" si="7"/>
        <v>0</v>
      </c>
      <c r="N85">
        <v>6</v>
      </c>
      <c r="O85">
        <v>6</v>
      </c>
      <c r="P85">
        <f t="shared" si="8"/>
        <v>0</v>
      </c>
      <c r="Q85">
        <v>1</v>
      </c>
      <c r="R85">
        <v>1</v>
      </c>
      <c r="S85">
        <f t="shared" si="9"/>
        <v>0</v>
      </c>
      <c r="T85">
        <v>2</v>
      </c>
      <c r="U85">
        <v>2</v>
      </c>
      <c r="V85">
        <f t="shared" si="10"/>
        <v>0</v>
      </c>
      <c r="W85">
        <v>2</v>
      </c>
      <c r="X85">
        <v>2</v>
      </c>
      <c r="Y85">
        <f t="shared" si="11"/>
        <v>0</v>
      </c>
      <c r="Z85" s="2">
        <v>0</v>
      </c>
      <c r="AA85" s="2">
        <v>1</v>
      </c>
      <c r="AB85" s="2">
        <v>0</v>
      </c>
      <c r="AC85" s="2">
        <f t="shared" si="12"/>
        <v>1</v>
      </c>
      <c r="AD85" s="2">
        <v>0</v>
      </c>
      <c r="AE85" s="2">
        <v>1</v>
      </c>
      <c r="AF85" s="2">
        <v>0</v>
      </c>
      <c r="AG85" s="2">
        <v>0</v>
      </c>
      <c r="AH85" s="2">
        <v>1</v>
      </c>
      <c r="AI85" s="2">
        <v>0</v>
      </c>
      <c r="AJ85" s="2">
        <v>1</v>
      </c>
      <c r="AK85" s="2">
        <v>0</v>
      </c>
      <c r="AL85">
        <f t="shared" si="13"/>
        <v>0</v>
      </c>
      <c r="AM85" t="s">
        <v>6</v>
      </c>
      <c r="AN85" t="s">
        <v>269</v>
      </c>
    </row>
    <row r="86" spans="1:40" x14ac:dyDescent="0.35">
      <c r="A86">
        <v>152</v>
      </c>
      <c r="B86" t="s">
        <v>18</v>
      </c>
      <c r="C86">
        <v>-0.04</v>
      </c>
      <c r="D86" s="2">
        <v>60</v>
      </c>
      <c r="E86" t="s">
        <v>52</v>
      </c>
      <c r="F86" t="s">
        <v>59</v>
      </c>
      <c r="G86" t="s">
        <v>167</v>
      </c>
      <c r="H86">
        <v>0</v>
      </c>
      <c r="I86" s="13">
        <v>0.25</v>
      </c>
      <c r="J86">
        <v>1</v>
      </c>
      <c r="K86" s="2">
        <v>4</v>
      </c>
      <c r="L86">
        <v>5</v>
      </c>
      <c r="M86" s="2">
        <f t="shared" si="7"/>
        <v>1</v>
      </c>
      <c r="N86">
        <v>5</v>
      </c>
      <c r="O86">
        <v>5</v>
      </c>
      <c r="P86">
        <f t="shared" si="8"/>
        <v>0</v>
      </c>
      <c r="Q86">
        <v>2</v>
      </c>
      <c r="R86">
        <v>2</v>
      </c>
      <c r="S86">
        <f t="shared" si="9"/>
        <v>0</v>
      </c>
      <c r="T86">
        <v>2</v>
      </c>
      <c r="U86">
        <v>2</v>
      </c>
      <c r="V86">
        <f t="shared" si="10"/>
        <v>0</v>
      </c>
      <c r="W86">
        <v>1</v>
      </c>
      <c r="X86">
        <v>1</v>
      </c>
      <c r="Y86">
        <f t="shared" si="11"/>
        <v>0</v>
      </c>
      <c r="Z86" s="2">
        <v>0</v>
      </c>
      <c r="AA86" s="2">
        <v>0</v>
      </c>
      <c r="AB86" s="2">
        <v>0</v>
      </c>
      <c r="AC86" s="2">
        <f t="shared" si="12"/>
        <v>0</v>
      </c>
      <c r="AD86" s="2">
        <v>0</v>
      </c>
      <c r="AE86" s="2">
        <v>0</v>
      </c>
      <c r="AF86" s="2">
        <v>0</v>
      </c>
      <c r="AG86" s="2">
        <v>0</v>
      </c>
      <c r="AH86" s="2">
        <v>0</v>
      </c>
      <c r="AI86" s="2">
        <v>0</v>
      </c>
      <c r="AJ86" s="2">
        <v>0</v>
      </c>
      <c r="AK86" s="2">
        <v>0</v>
      </c>
      <c r="AL86">
        <f t="shared" si="13"/>
        <v>1</v>
      </c>
      <c r="AM86" t="s">
        <v>140</v>
      </c>
      <c r="AN86" t="s">
        <v>271</v>
      </c>
    </row>
    <row r="87" spans="1:40" x14ac:dyDescent="0.35">
      <c r="A87">
        <v>153</v>
      </c>
      <c r="B87" t="s">
        <v>165</v>
      </c>
      <c r="C87">
        <v>1.47</v>
      </c>
      <c r="D87" s="2">
        <v>10</v>
      </c>
      <c r="E87" t="s">
        <v>162</v>
      </c>
      <c r="F87" t="s">
        <v>53</v>
      </c>
      <c r="G87" t="s">
        <v>167</v>
      </c>
      <c r="H87">
        <v>0</v>
      </c>
      <c r="I87" s="13">
        <v>0.25</v>
      </c>
      <c r="J87">
        <v>2</v>
      </c>
      <c r="K87" s="2">
        <v>16</v>
      </c>
      <c r="L87">
        <v>14</v>
      </c>
      <c r="M87" s="2">
        <f t="shared" si="7"/>
        <v>-2</v>
      </c>
      <c r="N87">
        <v>6</v>
      </c>
      <c r="O87">
        <v>6</v>
      </c>
      <c r="P87">
        <f t="shared" si="8"/>
        <v>0</v>
      </c>
      <c r="Q87">
        <v>2</v>
      </c>
      <c r="R87">
        <v>2</v>
      </c>
      <c r="S87">
        <f t="shared" si="9"/>
        <v>0</v>
      </c>
      <c r="T87">
        <v>2</v>
      </c>
      <c r="U87">
        <v>2</v>
      </c>
      <c r="V87">
        <f t="shared" si="10"/>
        <v>0</v>
      </c>
      <c r="W87">
        <v>1</v>
      </c>
      <c r="X87">
        <v>1</v>
      </c>
      <c r="Y87">
        <f t="shared" si="11"/>
        <v>0</v>
      </c>
      <c r="Z87" s="2">
        <v>0</v>
      </c>
      <c r="AA87" s="2">
        <v>0</v>
      </c>
      <c r="AB87" s="2">
        <v>0</v>
      </c>
      <c r="AC87" s="2">
        <f t="shared" si="12"/>
        <v>0</v>
      </c>
      <c r="AD87" s="2">
        <v>0</v>
      </c>
      <c r="AE87" s="2">
        <v>0</v>
      </c>
      <c r="AF87" s="2">
        <v>0</v>
      </c>
      <c r="AG87" s="2">
        <v>0</v>
      </c>
      <c r="AH87" s="2">
        <v>0</v>
      </c>
      <c r="AI87" s="2">
        <v>0</v>
      </c>
      <c r="AJ87" s="2">
        <v>0</v>
      </c>
      <c r="AK87" s="2">
        <v>0</v>
      </c>
      <c r="AL87">
        <f t="shared" si="13"/>
        <v>1</v>
      </c>
      <c r="AM87" t="s">
        <v>140</v>
      </c>
      <c r="AN87" t="s">
        <v>271</v>
      </c>
    </row>
    <row r="88" spans="1:40" x14ac:dyDescent="0.35">
      <c r="A88">
        <v>158</v>
      </c>
      <c r="B88" t="s">
        <v>18</v>
      </c>
      <c r="C88">
        <v>-0.04</v>
      </c>
      <c r="D88" s="2">
        <v>16</v>
      </c>
      <c r="E88" t="s">
        <v>62</v>
      </c>
      <c r="F88" t="s">
        <v>59</v>
      </c>
      <c r="G88" t="s">
        <v>167</v>
      </c>
      <c r="H88">
        <v>0</v>
      </c>
      <c r="I88" s="13">
        <v>0.5</v>
      </c>
      <c r="J88">
        <v>1</v>
      </c>
      <c r="K88" s="2">
        <v>9</v>
      </c>
      <c r="L88">
        <v>12</v>
      </c>
      <c r="M88" s="2">
        <f t="shared" si="7"/>
        <v>3</v>
      </c>
      <c r="N88" s="9">
        <v>2</v>
      </c>
      <c r="O88" s="9">
        <v>6</v>
      </c>
      <c r="P88">
        <f t="shared" si="8"/>
        <v>4</v>
      </c>
      <c r="Q88" s="9">
        <v>3</v>
      </c>
      <c r="R88" s="9">
        <v>3</v>
      </c>
      <c r="S88">
        <f t="shared" si="9"/>
        <v>0</v>
      </c>
      <c r="T88">
        <v>3</v>
      </c>
      <c r="U88">
        <v>3</v>
      </c>
      <c r="V88">
        <f t="shared" si="10"/>
        <v>0</v>
      </c>
      <c r="W88">
        <v>1</v>
      </c>
      <c r="X88">
        <v>2</v>
      </c>
      <c r="Y88">
        <f t="shared" si="11"/>
        <v>1</v>
      </c>
      <c r="Z88" s="2">
        <v>0</v>
      </c>
      <c r="AA88" s="2">
        <v>1</v>
      </c>
      <c r="AB88" s="2">
        <v>1</v>
      </c>
      <c r="AC88" s="2">
        <f t="shared" si="12"/>
        <v>1</v>
      </c>
      <c r="AD88" s="2">
        <v>1</v>
      </c>
      <c r="AE88" s="2">
        <v>1</v>
      </c>
      <c r="AF88" s="2">
        <v>0</v>
      </c>
      <c r="AG88" s="2">
        <v>1</v>
      </c>
      <c r="AH88" s="2">
        <v>0</v>
      </c>
      <c r="AI88" s="2">
        <v>0</v>
      </c>
      <c r="AJ88" s="2">
        <v>1</v>
      </c>
      <c r="AK88" s="2">
        <v>0</v>
      </c>
      <c r="AL88">
        <f t="shared" si="13"/>
        <v>0</v>
      </c>
      <c r="AM88" t="s">
        <v>138</v>
      </c>
      <c r="AN88" t="s">
        <v>270</v>
      </c>
    </row>
    <row r="89" spans="1:40" x14ac:dyDescent="0.35">
      <c r="A89">
        <v>159</v>
      </c>
      <c r="B89" t="s">
        <v>18</v>
      </c>
      <c r="C89">
        <v>-0.04</v>
      </c>
      <c r="D89" s="2">
        <v>93</v>
      </c>
      <c r="E89" t="s">
        <v>62</v>
      </c>
      <c r="F89" t="s">
        <v>53</v>
      </c>
      <c r="G89" t="s">
        <v>166</v>
      </c>
      <c r="H89">
        <v>0</v>
      </c>
      <c r="I89" s="13">
        <v>0.25</v>
      </c>
      <c r="J89">
        <v>1</v>
      </c>
      <c r="K89" s="2">
        <v>2</v>
      </c>
      <c r="L89">
        <v>2</v>
      </c>
      <c r="M89" s="2">
        <f t="shared" si="7"/>
        <v>0</v>
      </c>
      <c r="N89" s="9">
        <v>8</v>
      </c>
      <c r="O89" s="9">
        <v>7</v>
      </c>
      <c r="P89">
        <f t="shared" si="8"/>
        <v>-1</v>
      </c>
      <c r="Q89" s="9">
        <v>2</v>
      </c>
      <c r="R89" s="9">
        <v>2</v>
      </c>
      <c r="S89">
        <f t="shared" si="9"/>
        <v>0</v>
      </c>
      <c r="T89">
        <v>2</v>
      </c>
      <c r="U89">
        <v>4</v>
      </c>
      <c r="V89">
        <f t="shared" si="10"/>
        <v>2</v>
      </c>
      <c r="W89">
        <v>2</v>
      </c>
      <c r="X89">
        <v>2</v>
      </c>
      <c r="Y89">
        <f t="shared" si="11"/>
        <v>0</v>
      </c>
      <c r="Z89" s="2">
        <v>1</v>
      </c>
      <c r="AA89" s="2">
        <v>0</v>
      </c>
      <c r="AB89" s="2">
        <v>1</v>
      </c>
      <c r="AC89" s="2">
        <f t="shared" si="12"/>
        <v>1</v>
      </c>
      <c r="AD89" s="2">
        <v>0</v>
      </c>
      <c r="AE89" s="2">
        <v>1</v>
      </c>
      <c r="AF89" s="2">
        <v>0</v>
      </c>
      <c r="AG89" s="2">
        <v>1</v>
      </c>
      <c r="AH89" s="2">
        <v>0</v>
      </c>
      <c r="AI89" s="2">
        <v>1</v>
      </c>
      <c r="AJ89" s="2">
        <v>1</v>
      </c>
      <c r="AK89" s="2">
        <v>0</v>
      </c>
      <c r="AL89">
        <f t="shared" si="13"/>
        <v>0</v>
      </c>
      <c r="AM89" t="s">
        <v>9</v>
      </c>
      <c r="AN89" t="s">
        <v>269</v>
      </c>
    </row>
    <row r="90" spans="1:40" x14ac:dyDescent="0.35">
      <c r="A90">
        <v>160</v>
      </c>
      <c r="B90" t="s">
        <v>18</v>
      </c>
      <c r="C90">
        <v>-0.04</v>
      </c>
      <c r="D90" s="5">
        <v>92</v>
      </c>
      <c r="E90" t="s">
        <v>62</v>
      </c>
      <c r="F90" t="s">
        <v>56</v>
      </c>
      <c r="G90" t="s">
        <v>166</v>
      </c>
      <c r="H90">
        <v>0</v>
      </c>
      <c r="I90" s="13">
        <v>0.5</v>
      </c>
      <c r="J90">
        <v>1</v>
      </c>
      <c r="K90" s="2">
        <v>5</v>
      </c>
      <c r="L90">
        <v>5</v>
      </c>
      <c r="M90" s="2">
        <f t="shared" si="7"/>
        <v>0</v>
      </c>
      <c r="N90" s="9">
        <v>3</v>
      </c>
      <c r="O90" s="9">
        <v>3</v>
      </c>
      <c r="P90">
        <f t="shared" si="8"/>
        <v>0</v>
      </c>
      <c r="Q90" s="9">
        <v>2</v>
      </c>
      <c r="R90" s="9">
        <v>2</v>
      </c>
      <c r="S90">
        <f t="shared" si="9"/>
        <v>0</v>
      </c>
      <c r="T90">
        <v>1</v>
      </c>
      <c r="U90">
        <v>1</v>
      </c>
      <c r="V90">
        <f t="shared" si="10"/>
        <v>0</v>
      </c>
      <c r="W90">
        <v>2</v>
      </c>
      <c r="X90">
        <v>1</v>
      </c>
      <c r="Y90">
        <f t="shared" si="11"/>
        <v>-1</v>
      </c>
      <c r="Z90" s="2">
        <v>0</v>
      </c>
      <c r="AA90" s="2">
        <v>1</v>
      </c>
      <c r="AB90" s="2">
        <v>0</v>
      </c>
      <c r="AC90" s="2">
        <f t="shared" si="12"/>
        <v>1</v>
      </c>
      <c r="AD90" s="2">
        <v>0</v>
      </c>
      <c r="AE90" s="2">
        <v>1</v>
      </c>
      <c r="AF90" s="2">
        <v>0</v>
      </c>
      <c r="AG90" s="2">
        <v>1</v>
      </c>
      <c r="AH90" s="2">
        <v>0</v>
      </c>
      <c r="AI90" s="2">
        <v>0</v>
      </c>
      <c r="AJ90" s="2">
        <v>1</v>
      </c>
      <c r="AK90" s="2">
        <v>0</v>
      </c>
      <c r="AL90">
        <f t="shared" si="13"/>
        <v>0</v>
      </c>
      <c r="AM90" s="9" t="s">
        <v>39</v>
      </c>
      <c r="AN90" t="s">
        <v>270</v>
      </c>
    </row>
    <row r="91" spans="1:40" x14ac:dyDescent="0.35">
      <c r="A91">
        <v>161</v>
      </c>
      <c r="B91" t="s">
        <v>18</v>
      </c>
      <c r="C91">
        <v>-0.04</v>
      </c>
      <c r="D91" s="2">
        <v>100</v>
      </c>
      <c r="E91" t="s">
        <v>160</v>
      </c>
      <c r="F91" t="s">
        <v>59</v>
      </c>
      <c r="G91" t="s">
        <v>167</v>
      </c>
      <c r="H91">
        <v>0</v>
      </c>
      <c r="I91" s="13">
        <v>1</v>
      </c>
      <c r="J91">
        <v>1</v>
      </c>
      <c r="K91" s="2">
        <v>2</v>
      </c>
      <c r="L91">
        <v>2</v>
      </c>
      <c r="M91" s="2">
        <f t="shared" si="7"/>
        <v>0</v>
      </c>
      <c r="N91" s="9">
        <v>5</v>
      </c>
      <c r="O91" s="9">
        <v>4</v>
      </c>
      <c r="P91">
        <f t="shared" si="8"/>
        <v>-1</v>
      </c>
      <c r="Q91" s="9">
        <v>2</v>
      </c>
      <c r="R91" s="9">
        <v>2</v>
      </c>
      <c r="S91">
        <f t="shared" si="9"/>
        <v>0</v>
      </c>
      <c r="T91">
        <v>1</v>
      </c>
      <c r="U91">
        <v>1</v>
      </c>
      <c r="V91">
        <f t="shared" si="10"/>
        <v>0</v>
      </c>
      <c r="W91">
        <v>1</v>
      </c>
      <c r="X91">
        <v>1</v>
      </c>
      <c r="Y91">
        <f t="shared" si="11"/>
        <v>0</v>
      </c>
      <c r="Z91" s="2">
        <v>0</v>
      </c>
      <c r="AA91" s="2">
        <v>0</v>
      </c>
      <c r="AB91" s="2">
        <v>0</v>
      </c>
      <c r="AC91" s="2">
        <f t="shared" si="12"/>
        <v>0</v>
      </c>
      <c r="AD91" s="2">
        <v>0</v>
      </c>
      <c r="AE91" s="2">
        <v>0</v>
      </c>
      <c r="AF91" s="2">
        <v>0</v>
      </c>
      <c r="AG91" s="2">
        <v>1</v>
      </c>
      <c r="AH91" s="2">
        <v>0</v>
      </c>
      <c r="AI91" s="2">
        <v>0</v>
      </c>
      <c r="AJ91" s="2">
        <v>1</v>
      </c>
      <c r="AK91" s="2">
        <v>1</v>
      </c>
      <c r="AL91">
        <f t="shared" si="13"/>
        <v>0</v>
      </c>
      <c r="AM91" t="s">
        <v>43</v>
      </c>
      <c r="AN91" t="s">
        <v>270</v>
      </c>
    </row>
    <row r="92" spans="1:40" x14ac:dyDescent="0.35">
      <c r="A92">
        <v>163</v>
      </c>
      <c r="B92" t="s">
        <v>14</v>
      </c>
      <c r="C92">
        <v>1.42</v>
      </c>
      <c r="D92" s="2">
        <v>60</v>
      </c>
      <c r="E92" t="s">
        <v>160</v>
      </c>
      <c r="F92" t="s">
        <v>55</v>
      </c>
      <c r="G92" t="s">
        <v>166</v>
      </c>
      <c r="H92">
        <v>0</v>
      </c>
      <c r="I92" s="13">
        <v>0.5</v>
      </c>
      <c r="J92">
        <v>1</v>
      </c>
      <c r="K92" s="2">
        <v>3</v>
      </c>
      <c r="L92">
        <v>2</v>
      </c>
      <c r="M92" s="2">
        <f t="shared" si="7"/>
        <v>-1</v>
      </c>
      <c r="N92" s="9">
        <v>8</v>
      </c>
      <c r="O92" s="9">
        <v>5</v>
      </c>
      <c r="P92">
        <f t="shared" si="8"/>
        <v>-3</v>
      </c>
      <c r="Q92" s="9">
        <v>1</v>
      </c>
      <c r="R92" s="9">
        <v>1</v>
      </c>
      <c r="S92">
        <f t="shared" si="9"/>
        <v>0</v>
      </c>
      <c r="T92">
        <v>3</v>
      </c>
      <c r="U92">
        <v>3</v>
      </c>
      <c r="V92">
        <f t="shared" si="10"/>
        <v>0</v>
      </c>
      <c r="W92">
        <v>0</v>
      </c>
      <c r="X92">
        <v>0</v>
      </c>
      <c r="Y92">
        <f t="shared" si="11"/>
        <v>0</v>
      </c>
      <c r="Z92" s="2">
        <v>0</v>
      </c>
      <c r="AA92" s="2">
        <v>0</v>
      </c>
      <c r="AB92" s="2">
        <v>0</v>
      </c>
      <c r="AC92" s="2">
        <f t="shared" si="12"/>
        <v>0</v>
      </c>
      <c r="AD92" s="2">
        <v>0</v>
      </c>
      <c r="AE92" s="2">
        <v>0</v>
      </c>
      <c r="AF92" s="2">
        <v>0</v>
      </c>
      <c r="AG92" s="2">
        <v>1</v>
      </c>
      <c r="AH92" s="2">
        <v>0</v>
      </c>
      <c r="AI92" s="2">
        <v>0</v>
      </c>
      <c r="AJ92" s="2">
        <v>1</v>
      </c>
      <c r="AK92" s="2">
        <v>1</v>
      </c>
      <c r="AL92">
        <f t="shared" si="13"/>
        <v>0</v>
      </c>
      <c r="AM92" t="s">
        <v>9</v>
      </c>
      <c r="AN92" t="s">
        <v>269</v>
      </c>
    </row>
    <row r="93" spans="1:40" x14ac:dyDescent="0.35">
      <c r="A93">
        <v>164</v>
      </c>
      <c r="B93" t="s">
        <v>16</v>
      </c>
      <c r="C93">
        <v>1.61</v>
      </c>
      <c r="D93" s="2">
        <v>7</v>
      </c>
      <c r="E93" t="s">
        <v>162</v>
      </c>
      <c r="F93" t="s">
        <v>60</v>
      </c>
      <c r="G93" t="s">
        <v>167</v>
      </c>
      <c r="H93">
        <v>0</v>
      </c>
      <c r="I93" s="13">
        <v>0.5</v>
      </c>
      <c r="J93">
        <v>2</v>
      </c>
      <c r="K93" s="2">
        <v>4</v>
      </c>
      <c r="L93">
        <v>4</v>
      </c>
      <c r="M93" s="2">
        <f t="shared" si="7"/>
        <v>0</v>
      </c>
      <c r="N93" s="9">
        <v>4</v>
      </c>
      <c r="O93" s="9">
        <v>2</v>
      </c>
      <c r="P93">
        <f t="shared" si="8"/>
        <v>-2</v>
      </c>
      <c r="Q93" s="9">
        <v>2</v>
      </c>
      <c r="R93" s="9">
        <v>2</v>
      </c>
      <c r="S93">
        <f t="shared" si="9"/>
        <v>0</v>
      </c>
      <c r="T93">
        <v>3</v>
      </c>
      <c r="U93">
        <v>2</v>
      </c>
      <c r="V93">
        <f t="shared" si="10"/>
        <v>-1</v>
      </c>
      <c r="W93">
        <v>1</v>
      </c>
      <c r="X93">
        <v>1</v>
      </c>
      <c r="Y93">
        <f t="shared" si="11"/>
        <v>0</v>
      </c>
      <c r="Z93" s="2">
        <v>0</v>
      </c>
      <c r="AA93" s="2">
        <v>0</v>
      </c>
      <c r="AB93" s="2">
        <v>0</v>
      </c>
      <c r="AC93" s="2">
        <f t="shared" si="12"/>
        <v>0</v>
      </c>
      <c r="AD93" s="2">
        <v>0</v>
      </c>
      <c r="AE93" s="2">
        <v>0</v>
      </c>
      <c r="AF93" s="2">
        <v>0</v>
      </c>
      <c r="AG93" s="2">
        <v>1</v>
      </c>
      <c r="AH93" s="2">
        <v>0</v>
      </c>
      <c r="AI93" s="2">
        <v>0</v>
      </c>
      <c r="AJ93" s="2">
        <v>0</v>
      </c>
      <c r="AK93" s="2">
        <v>0</v>
      </c>
      <c r="AL93">
        <f t="shared" si="13"/>
        <v>0</v>
      </c>
      <c r="AM93" t="s">
        <v>140</v>
      </c>
      <c r="AN93" t="s">
        <v>271</v>
      </c>
    </row>
    <row r="94" spans="1:40" x14ac:dyDescent="0.35">
      <c r="A94">
        <v>165</v>
      </c>
      <c r="B94" t="s">
        <v>14</v>
      </c>
      <c r="C94">
        <v>1.42</v>
      </c>
      <c r="D94" s="2">
        <v>4</v>
      </c>
      <c r="E94" t="s">
        <v>160</v>
      </c>
      <c r="F94" t="s">
        <v>55</v>
      </c>
      <c r="G94" t="s">
        <v>167</v>
      </c>
      <c r="H94">
        <v>0</v>
      </c>
      <c r="I94" s="13">
        <v>1</v>
      </c>
      <c r="J94">
        <v>1</v>
      </c>
      <c r="K94" s="2">
        <v>3</v>
      </c>
      <c r="L94">
        <v>3</v>
      </c>
      <c r="M94" s="2">
        <f t="shared" si="7"/>
        <v>0</v>
      </c>
      <c r="N94" s="9">
        <v>8</v>
      </c>
      <c r="O94" s="9">
        <v>4</v>
      </c>
      <c r="P94">
        <f t="shared" si="8"/>
        <v>-4</v>
      </c>
      <c r="Q94" s="9">
        <v>1</v>
      </c>
      <c r="R94" s="9">
        <v>1</v>
      </c>
      <c r="S94">
        <f t="shared" si="9"/>
        <v>0</v>
      </c>
      <c r="W94">
        <v>0</v>
      </c>
      <c r="X94">
        <v>0</v>
      </c>
      <c r="Y94">
        <f t="shared" si="11"/>
        <v>0</v>
      </c>
      <c r="Z94" s="2">
        <v>0</v>
      </c>
      <c r="AA94" s="2">
        <v>1</v>
      </c>
      <c r="AB94" s="2">
        <v>1</v>
      </c>
      <c r="AC94" s="2">
        <f t="shared" si="12"/>
        <v>1</v>
      </c>
      <c r="AD94" s="2">
        <v>0</v>
      </c>
      <c r="AE94" s="2">
        <v>0</v>
      </c>
      <c r="AF94" s="2">
        <v>0</v>
      </c>
      <c r="AG94" s="2">
        <v>0</v>
      </c>
      <c r="AH94" s="2">
        <v>0</v>
      </c>
      <c r="AI94" s="2">
        <v>0</v>
      </c>
      <c r="AJ94" s="2">
        <v>1</v>
      </c>
      <c r="AK94" s="2">
        <v>1</v>
      </c>
      <c r="AL94">
        <f t="shared" si="13"/>
        <v>0</v>
      </c>
      <c r="AM94" t="s">
        <v>137</v>
      </c>
      <c r="AN94" t="s">
        <v>270</v>
      </c>
    </row>
    <row r="95" spans="1:40" x14ac:dyDescent="0.35">
      <c r="A95">
        <v>166</v>
      </c>
      <c r="B95" t="s">
        <v>127</v>
      </c>
      <c r="C95" s="9">
        <v>1.81</v>
      </c>
      <c r="D95" s="2">
        <v>12</v>
      </c>
      <c r="E95" t="s">
        <v>61</v>
      </c>
      <c r="F95" t="s">
        <v>59</v>
      </c>
      <c r="G95" t="s">
        <v>166</v>
      </c>
      <c r="H95">
        <v>0</v>
      </c>
      <c r="I95" s="13">
        <v>0.5</v>
      </c>
      <c r="J95">
        <v>1</v>
      </c>
      <c r="K95" s="2">
        <v>2</v>
      </c>
      <c r="L95">
        <v>2</v>
      </c>
      <c r="M95" s="2">
        <f t="shared" si="7"/>
        <v>0</v>
      </c>
      <c r="N95" s="9">
        <v>8</v>
      </c>
      <c r="O95" s="9">
        <v>9</v>
      </c>
      <c r="P95">
        <f t="shared" si="8"/>
        <v>1</v>
      </c>
      <c r="Q95" s="9">
        <v>2</v>
      </c>
      <c r="R95" s="9">
        <v>2</v>
      </c>
      <c r="S95">
        <f t="shared" si="9"/>
        <v>0</v>
      </c>
      <c r="T95">
        <v>1</v>
      </c>
      <c r="U95">
        <v>3</v>
      </c>
      <c r="V95">
        <f t="shared" si="10"/>
        <v>2</v>
      </c>
      <c r="W95">
        <v>0</v>
      </c>
      <c r="X95">
        <v>0</v>
      </c>
      <c r="Y95">
        <f t="shared" si="11"/>
        <v>0</v>
      </c>
      <c r="Z95" s="2">
        <v>0</v>
      </c>
      <c r="AA95" s="2">
        <v>0</v>
      </c>
      <c r="AB95" s="2">
        <v>0</v>
      </c>
      <c r="AC95" s="2">
        <f t="shared" si="12"/>
        <v>0</v>
      </c>
      <c r="AD95" s="2">
        <v>0</v>
      </c>
      <c r="AE95" s="2">
        <v>0</v>
      </c>
      <c r="AF95" s="2">
        <v>0</v>
      </c>
      <c r="AG95" s="2">
        <v>0</v>
      </c>
      <c r="AH95" s="2">
        <v>0</v>
      </c>
      <c r="AI95" s="2">
        <v>0</v>
      </c>
      <c r="AJ95" s="2">
        <v>0</v>
      </c>
      <c r="AK95" s="2">
        <v>1</v>
      </c>
      <c r="AL95">
        <f t="shared" si="13"/>
        <v>0</v>
      </c>
      <c r="AM95" t="s">
        <v>140</v>
      </c>
      <c r="AN95" t="s">
        <v>271</v>
      </c>
    </row>
    <row r="96" spans="1:40" x14ac:dyDescent="0.35">
      <c r="A96">
        <v>170</v>
      </c>
      <c r="B96" t="s">
        <v>18</v>
      </c>
      <c r="C96">
        <v>-0.04</v>
      </c>
      <c r="D96" s="2">
        <v>40</v>
      </c>
      <c r="E96" t="s">
        <v>62</v>
      </c>
      <c r="F96" t="s">
        <v>59</v>
      </c>
      <c r="G96" t="s">
        <v>166</v>
      </c>
      <c r="H96">
        <v>0</v>
      </c>
      <c r="I96" s="13">
        <v>0.25</v>
      </c>
      <c r="J96">
        <v>1</v>
      </c>
      <c r="K96" s="2">
        <v>3</v>
      </c>
      <c r="L96">
        <v>4</v>
      </c>
      <c r="M96" s="2">
        <f t="shared" si="7"/>
        <v>1</v>
      </c>
      <c r="N96" s="9">
        <v>5</v>
      </c>
      <c r="O96" s="9">
        <v>5</v>
      </c>
      <c r="P96">
        <f t="shared" si="8"/>
        <v>0</v>
      </c>
      <c r="Q96" s="9">
        <v>2</v>
      </c>
      <c r="R96" s="9">
        <v>2</v>
      </c>
      <c r="S96">
        <f t="shared" si="9"/>
        <v>0</v>
      </c>
      <c r="T96">
        <v>1</v>
      </c>
      <c r="U96">
        <v>1</v>
      </c>
      <c r="V96">
        <f t="shared" si="10"/>
        <v>0</v>
      </c>
      <c r="W96">
        <v>2</v>
      </c>
      <c r="X96">
        <v>1</v>
      </c>
      <c r="Y96">
        <f t="shared" si="11"/>
        <v>-1</v>
      </c>
      <c r="Z96" s="2">
        <v>1</v>
      </c>
      <c r="AA96" s="2">
        <v>1</v>
      </c>
      <c r="AB96" s="2">
        <v>0</v>
      </c>
      <c r="AC96" s="2">
        <f t="shared" si="12"/>
        <v>1</v>
      </c>
      <c r="AD96" s="2">
        <v>1</v>
      </c>
      <c r="AE96" s="2">
        <v>0</v>
      </c>
      <c r="AF96" s="2">
        <v>0</v>
      </c>
      <c r="AG96" s="2">
        <v>1</v>
      </c>
      <c r="AH96" s="2">
        <v>0</v>
      </c>
      <c r="AI96" s="2">
        <v>1</v>
      </c>
      <c r="AJ96" s="2">
        <v>0</v>
      </c>
      <c r="AK96" s="2">
        <v>0</v>
      </c>
      <c r="AL96">
        <f t="shared" si="13"/>
        <v>0</v>
      </c>
      <c r="AM96" t="s">
        <v>47</v>
      </c>
      <c r="AN96" t="s">
        <v>269</v>
      </c>
    </row>
    <row r="97" spans="1:40" x14ac:dyDescent="0.35">
      <c r="A97">
        <v>171</v>
      </c>
      <c r="B97" t="s">
        <v>127</v>
      </c>
      <c r="C97" s="9">
        <v>1.81</v>
      </c>
      <c r="D97" s="2">
        <v>4</v>
      </c>
      <c r="E97" t="s">
        <v>61</v>
      </c>
      <c r="F97" t="s">
        <v>59</v>
      </c>
      <c r="G97" t="s">
        <v>166</v>
      </c>
      <c r="H97">
        <v>0</v>
      </c>
      <c r="I97" s="13">
        <v>0.25</v>
      </c>
      <c r="J97">
        <v>1</v>
      </c>
      <c r="K97" s="2">
        <v>3</v>
      </c>
      <c r="L97">
        <v>3</v>
      </c>
      <c r="M97" s="2">
        <f t="shared" si="7"/>
        <v>0</v>
      </c>
      <c r="N97" s="9">
        <v>8</v>
      </c>
      <c r="O97" s="9">
        <v>8</v>
      </c>
      <c r="P97">
        <f t="shared" si="8"/>
        <v>0</v>
      </c>
      <c r="Q97" s="9">
        <v>2</v>
      </c>
      <c r="R97" s="9">
        <v>2</v>
      </c>
      <c r="S97">
        <f t="shared" si="9"/>
        <v>0</v>
      </c>
      <c r="T97">
        <v>4</v>
      </c>
      <c r="U97">
        <v>4</v>
      </c>
      <c r="V97">
        <f t="shared" si="10"/>
        <v>0</v>
      </c>
      <c r="W97">
        <v>1</v>
      </c>
      <c r="X97">
        <v>1</v>
      </c>
      <c r="Y97">
        <f t="shared" si="11"/>
        <v>0</v>
      </c>
      <c r="Z97" s="2">
        <v>0</v>
      </c>
      <c r="AA97" s="2">
        <v>0</v>
      </c>
      <c r="AB97" s="2">
        <v>0</v>
      </c>
      <c r="AC97" s="2">
        <f t="shared" si="12"/>
        <v>0</v>
      </c>
      <c r="AD97" s="2">
        <v>0</v>
      </c>
      <c r="AE97" s="2">
        <v>1</v>
      </c>
      <c r="AF97" s="2">
        <v>0</v>
      </c>
      <c r="AG97" s="2">
        <v>1</v>
      </c>
      <c r="AH97" s="2">
        <v>0</v>
      </c>
      <c r="AI97" s="2">
        <v>1</v>
      </c>
      <c r="AJ97" s="2">
        <v>1</v>
      </c>
      <c r="AK97" s="2">
        <v>1</v>
      </c>
      <c r="AL97">
        <f t="shared" si="13"/>
        <v>0</v>
      </c>
      <c r="AM97" t="s">
        <v>6</v>
      </c>
      <c r="AN97" t="s">
        <v>269</v>
      </c>
    </row>
    <row r="98" spans="1:40" x14ac:dyDescent="0.35">
      <c r="A98">
        <v>172</v>
      </c>
      <c r="B98" t="s">
        <v>127</v>
      </c>
      <c r="C98" s="9">
        <v>1.81</v>
      </c>
      <c r="D98" s="2">
        <v>15</v>
      </c>
      <c r="E98" t="s">
        <v>61</v>
      </c>
      <c r="F98" t="s">
        <v>53</v>
      </c>
      <c r="G98" t="s">
        <v>166</v>
      </c>
      <c r="H98">
        <v>0</v>
      </c>
      <c r="I98" s="13">
        <v>1</v>
      </c>
      <c r="J98">
        <v>1</v>
      </c>
      <c r="K98" s="2">
        <v>3</v>
      </c>
      <c r="L98">
        <v>3</v>
      </c>
      <c r="M98" s="2">
        <f t="shared" si="7"/>
        <v>0</v>
      </c>
      <c r="N98" s="9">
        <v>9</v>
      </c>
      <c r="O98" s="9">
        <v>6</v>
      </c>
      <c r="P98">
        <f t="shared" si="8"/>
        <v>-3</v>
      </c>
      <c r="Q98" s="9">
        <v>1</v>
      </c>
      <c r="R98" s="9">
        <v>1</v>
      </c>
      <c r="S98">
        <f t="shared" si="9"/>
        <v>0</v>
      </c>
      <c r="T98">
        <v>4</v>
      </c>
      <c r="U98">
        <v>3</v>
      </c>
      <c r="V98">
        <f t="shared" si="10"/>
        <v>-1</v>
      </c>
      <c r="W98">
        <v>1</v>
      </c>
      <c r="X98">
        <v>1</v>
      </c>
      <c r="Y98">
        <f t="shared" si="11"/>
        <v>0</v>
      </c>
      <c r="Z98" s="2">
        <v>0</v>
      </c>
      <c r="AA98" s="2">
        <v>1</v>
      </c>
      <c r="AB98" s="2">
        <v>0</v>
      </c>
      <c r="AC98" s="2">
        <f t="shared" si="12"/>
        <v>1</v>
      </c>
      <c r="AD98" s="2">
        <v>0</v>
      </c>
      <c r="AE98" s="2">
        <v>0</v>
      </c>
      <c r="AF98" s="2">
        <v>0</v>
      </c>
      <c r="AG98" s="2">
        <v>0</v>
      </c>
      <c r="AH98" s="2">
        <v>0</v>
      </c>
      <c r="AI98" s="2">
        <v>0</v>
      </c>
      <c r="AJ98" s="2">
        <v>0</v>
      </c>
      <c r="AK98" s="2">
        <v>0</v>
      </c>
      <c r="AL98">
        <f t="shared" si="13"/>
        <v>0</v>
      </c>
      <c r="AM98" t="s">
        <v>136</v>
      </c>
      <c r="AN98" t="s">
        <v>270</v>
      </c>
    </row>
    <row r="99" spans="1:40" x14ac:dyDescent="0.35">
      <c r="A99">
        <v>174</v>
      </c>
      <c r="B99" t="s">
        <v>14</v>
      </c>
      <c r="C99">
        <v>1.42</v>
      </c>
      <c r="D99" s="2">
        <v>60</v>
      </c>
      <c r="E99" t="s">
        <v>160</v>
      </c>
      <c r="F99" t="s">
        <v>55</v>
      </c>
      <c r="G99" t="s">
        <v>166</v>
      </c>
      <c r="H99">
        <v>0</v>
      </c>
      <c r="I99" s="13">
        <v>1</v>
      </c>
      <c r="J99">
        <v>1</v>
      </c>
      <c r="K99" s="2">
        <v>5</v>
      </c>
      <c r="L99">
        <v>5</v>
      </c>
      <c r="M99" s="2">
        <f t="shared" si="7"/>
        <v>0</v>
      </c>
      <c r="N99" s="9">
        <v>10</v>
      </c>
      <c r="O99" s="9">
        <v>1</v>
      </c>
      <c r="P99">
        <f t="shared" si="8"/>
        <v>-9</v>
      </c>
      <c r="Q99" s="9">
        <v>3</v>
      </c>
      <c r="R99" s="9">
        <v>3</v>
      </c>
      <c r="S99">
        <f t="shared" si="9"/>
        <v>0</v>
      </c>
      <c r="T99">
        <v>2</v>
      </c>
      <c r="U99">
        <v>2</v>
      </c>
      <c r="V99">
        <f t="shared" si="10"/>
        <v>0</v>
      </c>
      <c r="W99">
        <v>0</v>
      </c>
      <c r="X99">
        <v>0</v>
      </c>
      <c r="Y99">
        <f t="shared" si="11"/>
        <v>0</v>
      </c>
      <c r="Z99" s="2">
        <v>0</v>
      </c>
      <c r="AA99" s="2">
        <v>1</v>
      </c>
      <c r="AB99" s="2">
        <v>1</v>
      </c>
      <c r="AC99" s="2">
        <f t="shared" si="12"/>
        <v>1</v>
      </c>
      <c r="AD99" s="2">
        <v>0</v>
      </c>
      <c r="AE99" s="2">
        <v>1</v>
      </c>
      <c r="AF99" s="2">
        <v>0</v>
      </c>
      <c r="AG99" s="2">
        <v>1</v>
      </c>
      <c r="AH99" s="2">
        <v>0</v>
      </c>
      <c r="AI99" s="2">
        <v>0</v>
      </c>
      <c r="AJ99" s="2">
        <v>0</v>
      </c>
      <c r="AK99" s="2">
        <v>0</v>
      </c>
      <c r="AL99">
        <f t="shared" si="13"/>
        <v>0</v>
      </c>
      <c r="AM99" t="s">
        <v>136</v>
      </c>
      <c r="AN99" t="s">
        <v>270</v>
      </c>
    </row>
    <row r="100" spans="1:40" x14ac:dyDescent="0.35">
      <c r="A100">
        <v>175</v>
      </c>
      <c r="B100" t="s">
        <v>18</v>
      </c>
      <c r="C100">
        <v>-0.04</v>
      </c>
      <c r="D100" s="2">
        <v>60</v>
      </c>
      <c r="E100" t="s">
        <v>160</v>
      </c>
      <c r="F100" t="s">
        <v>59</v>
      </c>
      <c r="G100" t="s">
        <v>167</v>
      </c>
      <c r="H100">
        <v>0</v>
      </c>
      <c r="I100" s="13">
        <v>0.25</v>
      </c>
      <c r="J100">
        <v>1</v>
      </c>
      <c r="K100" s="2">
        <v>10</v>
      </c>
      <c r="L100">
        <v>9</v>
      </c>
      <c r="M100" s="2">
        <f t="shared" si="7"/>
        <v>-1</v>
      </c>
      <c r="N100" s="9">
        <v>7</v>
      </c>
      <c r="O100" s="9">
        <v>6</v>
      </c>
      <c r="P100">
        <f t="shared" si="8"/>
        <v>-1</v>
      </c>
      <c r="Q100" s="9">
        <v>3</v>
      </c>
      <c r="R100" s="9">
        <v>3</v>
      </c>
      <c r="S100">
        <f t="shared" si="9"/>
        <v>0</v>
      </c>
      <c r="T100">
        <v>4</v>
      </c>
      <c r="U100">
        <v>3</v>
      </c>
      <c r="V100">
        <f t="shared" si="10"/>
        <v>-1</v>
      </c>
      <c r="W100">
        <v>1</v>
      </c>
      <c r="X100">
        <v>1</v>
      </c>
      <c r="Y100">
        <f t="shared" si="11"/>
        <v>0</v>
      </c>
      <c r="Z100" s="2">
        <v>0</v>
      </c>
      <c r="AA100" s="2">
        <v>0</v>
      </c>
      <c r="AB100" s="2">
        <v>0</v>
      </c>
      <c r="AC100" s="2">
        <f t="shared" si="12"/>
        <v>0</v>
      </c>
      <c r="AD100" s="2">
        <v>0</v>
      </c>
      <c r="AE100" s="2">
        <v>1</v>
      </c>
      <c r="AF100" s="2">
        <v>0</v>
      </c>
      <c r="AG100" s="2">
        <v>1</v>
      </c>
      <c r="AH100" s="2">
        <v>0</v>
      </c>
      <c r="AI100" s="2">
        <v>0</v>
      </c>
      <c r="AJ100" s="2">
        <v>1</v>
      </c>
      <c r="AK100" s="2">
        <v>0</v>
      </c>
      <c r="AL100">
        <f t="shared" si="13"/>
        <v>0</v>
      </c>
      <c r="AM100" t="s">
        <v>6</v>
      </c>
      <c r="AN100" t="s">
        <v>269</v>
      </c>
    </row>
    <row r="101" spans="1:40" x14ac:dyDescent="0.35">
      <c r="A101">
        <v>176</v>
      </c>
      <c r="B101" t="s">
        <v>127</v>
      </c>
      <c r="C101" s="9">
        <v>1.81</v>
      </c>
      <c r="D101" s="2">
        <v>95</v>
      </c>
      <c r="E101" t="s">
        <v>61</v>
      </c>
      <c r="F101" t="s">
        <v>53</v>
      </c>
      <c r="G101" t="s">
        <v>167</v>
      </c>
      <c r="H101">
        <v>0</v>
      </c>
      <c r="I101" s="13">
        <v>0.75</v>
      </c>
      <c r="J101">
        <v>1</v>
      </c>
      <c r="K101" s="2">
        <v>4</v>
      </c>
      <c r="L101">
        <v>4</v>
      </c>
      <c r="M101" s="2">
        <f t="shared" si="7"/>
        <v>0</v>
      </c>
      <c r="N101" s="9">
        <v>7</v>
      </c>
      <c r="O101" s="9">
        <v>7</v>
      </c>
      <c r="P101">
        <f t="shared" si="8"/>
        <v>0</v>
      </c>
      <c r="Q101" s="9">
        <v>1</v>
      </c>
      <c r="R101" s="9">
        <v>1</v>
      </c>
      <c r="S101">
        <f t="shared" si="9"/>
        <v>0</v>
      </c>
      <c r="T101">
        <v>1</v>
      </c>
      <c r="U101">
        <v>3</v>
      </c>
      <c r="V101">
        <f t="shared" si="10"/>
        <v>2</v>
      </c>
      <c r="W101">
        <v>1</v>
      </c>
      <c r="X101">
        <v>1</v>
      </c>
      <c r="Y101">
        <f t="shared" si="11"/>
        <v>0</v>
      </c>
      <c r="Z101" s="2">
        <v>0</v>
      </c>
      <c r="AA101" s="2">
        <v>1</v>
      </c>
      <c r="AB101" s="2">
        <v>0</v>
      </c>
      <c r="AC101" s="2">
        <f t="shared" si="12"/>
        <v>1</v>
      </c>
      <c r="AD101" s="2">
        <v>0</v>
      </c>
      <c r="AE101" s="2">
        <v>1</v>
      </c>
      <c r="AF101" s="2">
        <v>1</v>
      </c>
      <c r="AG101" s="2">
        <v>1</v>
      </c>
      <c r="AH101" s="2">
        <v>0</v>
      </c>
      <c r="AI101" s="2">
        <v>0</v>
      </c>
      <c r="AJ101" s="2">
        <v>0</v>
      </c>
      <c r="AK101" s="2">
        <v>1</v>
      </c>
      <c r="AL101">
        <f t="shared" si="13"/>
        <v>0</v>
      </c>
      <c r="AM101" t="s">
        <v>136</v>
      </c>
      <c r="AN101" t="s">
        <v>270</v>
      </c>
    </row>
    <row r="102" spans="1:40" x14ac:dyDescent="0.35">
      <c r="A102">
        <v>178</v>
      </c>
      <c r="B102" t="s">
        <v>127</v>
      </c>
      <c r="C102" s="9">
        <v>1.81</v>
      </c>
      <c r="D102" s="2">
        <v>21</v>
      </c>
      <c r="E102" t="s">
        <v>61</v>
      </c>
      <c r="F102" t="s">
        <v>53</v>
      </c>
      <c r="G102" t="s">
        <v>166</v>
      </c>
      <c r="H102">
        <v>0</v>
      </c>
      <c r="I102" s="13">
        <v>0.75</v>
      </c>
      <c r="J102">
        <v>1</v>
      </c>
      <c r="K102" s="2">
        <v>3</v>
      </c>
      <c r="L102">
        <v>3</v>
      </c>
      <c r="M102" s="2">
        <f t="shared" si="7"/>
        <v>0</v>
      </c>
      <c r="N102" s="9">
        <v>9</v>
      </c>
      <c r="O102" s="9">
        <v>8</v>
      </c>
      <c r="P102">
        <f t="shared" si="8"/>
        <v>-1</v>
      </c>
      <c r="Q102" s="9">
        <v>3</v>
      </c>
      <c r="R102" s="9">
        <v>3</v>
      </c>
      <c r="S102">
        <f t="shared" si="9"/>
        <v>0</v>
      </c>
      <c r="T102">
        <v>3</v>
      </c>
      <c r="U102">
        <v>3</v>
      </c>
      <c r="V102">
        <f t="shared" si="10"/>
        <v>0</v>
      </c>
      <c r="W102">
        <v>2</v>
      </c>
      <c r="X102">
        <v>2</v>
      </c>
      <c r="Y102">
        <f t="shared" si="11"/>
        <v>0</v>
      </c>
      <c r="Z102" s="2">
        <v>0</v>
      </c>
      <c r="AA102" s="2">
        <v>1</v>
      </c>
      <c r="AB102" s="2">
        <v>1</v>
      </c>
      <c r="AC102" s="2">
        <f t="shared" si="12"/>
        <v>1</v>
      </c>
      <c r="AD102" s="2">
        <v>1</v>
      </c>
      <c r="AE102" s="2">
        <v>0</v>
      </c>
      <c r="AF102" s="2">
        <v>0</v>
      </c>
      <c r="AG102" s="2">
        <v>1</v>
      </c>
      <c r="AH102" s="2">
        <v>0</v>
      </c>
      <c r="AI102" s="2">
        <v>0</v>
      </c>
      <c r="AJ102" s="2">
        <v>0</v>
      </c>
      <c r="AK102" s="2">
        <v>1</v>
      </c>
      <c r="AL102">
        <f t="shared" si="13"/>
        <v>0</v>
      </c>
      <c r="AM102" t="s">
        <v>136</v>
      </c>
      <c r="AN102" t="s">
        <v>270</v>
      </c>
    </row>
    <row r="103" spans="1:40" x14ac:dyDescent="0.35">
      <c r="A103">
        <v>179</v>
      </c>
      <c r="B103" t="s">
        <v>18</v>
      </c>
      <c r="C103">
        <v>-0.04</v>
      </c>
      <c r="D103" s="2">
        <v>60</v>
      </c>
      <c r="E103" t="s">
        <v>160</v>
      </c>
      <c r="F103" t="s">
        <v>53</v>
      </c>
      <c r="G103" t="s">
        <v>166</v>
      </c>
      <c r="H103">
        <v>0</v>
      </c>
      <c r="I103" s="13">
        <v>0.25</v>
      </c>
      <c r="J103">
        <v>1</v>
      </c>
      <c r="K103" s="2">
        <v>9</v>
      </c>
      <c r="L103">
        <v>9</v>
      </c>
      <c r="M103" s="2">
        <f t="shared" si="7"/>
        <v>0</v>
      </c>
      <c r="N103" s="9">
        <v>4</v>
      </c>
      <c r="O103" s="9">
        <v>4</v>
      </c>
      <c r="P103">
        <f t="shared" si="8"/>
        <v>0</v>
      </c>
      <c r="Q103" s="9">
        <v>1</v>
      </c>
      <c r="R103" s="9">
        <v>1</v>
      </c>
      <c r="S103">
        <f t="shared" si="9"/>
        <v>0</v>
      </c>
      <c r="T103">
        <v>1</v>
      </c>
      <c r="U103">
        <v>3</v>
      </c>
      <c r="V103">
        <f t="shared" si="10"/>
        <v>2</v>
      </c>
      <c r="W103">
        <v>2</v>
      </c>
      <c r="X103">
        <v>2</v>
      </c>
      <c r="Y103">
        <f t="shared" si="11"/>
        <v>0</v>
      </c>
      <c r="Z103" s="2">
        <v>0</v>
      </c>
      <c r="AA103" s="2">
        <v>0</v>
      </c>
      <c r="AB103" s="2">
        <v>0</v>
      </c>
      <c r="AC103" s="2">
        <f t="shared" si="12"/>
        <v>0</v>
      </c>
      <c r="AD103" s="2">
        <v>0</v>
      </c>
      <c r="AE103" s="2">
        <v>1</v>
      </c>
      <c r="AF103" s="2">
        <v>0</v>
      </c>
      <c r="AG103" s="2">
        <v>0</v>
      </c>
      <c r="AH103" s="2">
        <v>0</v>
      </c>
      <c r="AI103" s="2">
        <v>0</v>
      </c>
      <c r="AJ103" s="2">
        <v>1</v>
      </c>
      <c r="AK103" s="2">
        <v>1</v>
      </c>
      <c r="AL103">
        <f t="shared" si="13"/>
        <v>0</v>
      </c>
      <c r="AM103" t="s">
        <v>6</v>
      </c>
      <c r="AN103" t="s">
        <v>269</v>
      </c>
    </row>
    <row r="104" spans="1:40" x14ac:dyDescent="0.35">
      <c r="A104">
        <v>181</v>
      </c>
      <c r="B104" t="s">
        <v>18</v>
      </c>
      <c r="C104">
        <v>-0.04</v>
      </c>
      <c r="D104" s="2">
        <v>60</v>
      </c>
      <c r="E104" t="s">
        <v>160</v>
      </c>
      <c r="F104" t="s">
        <v>53</v>
      </c>
      <c r="G104" t="s">
        <v>167</v>
      </c>
      <c r="H104">
        <v>0</v>
      </c>
      <c r="I104" s="13">
        <v>0.5</v>
      </c>
      <c r="J104">
        <v>1</v>
      </c>
      <c r="K104" s="2">
        <v>3</v>
      </c>
      <c r="L104">
        <v>3</v>
      </c>
      <c r="M104" s="2">
        <f t="shared" si="7"/>
        <v>0</v>
      </c>
      <c r="N104" s="9">
        <v>6</v>
      </c>
      <c r="O104" s="9">
        <v>6</v>
      </c>
      <c r="P104">
        <f t="shared" si="8"/>
        <v>0</v>
      </c>
      <c r="Q104" s="9">
        <v>1</v>
      </c>
      <c r="R104" s="9">
        <v>1</v>
      </c>
      <c r="S104">
        <f t="shared" si="9"/>
        <v>0</v>
      </c>
      <c r="T104">
        <v>2</v>
      </c>
      <c r="U104">
        <v>2</v>
      </c>
      <c r="V104">
        <f t="shared" si="10"/>
        <v>0</v>
      </c>
      <c r="W104">
        <v>1</v>
      </c>
      <c r="X104">
        <v>1</v>
      </c>
      <c r="Y104">
        <f t="shared" si="11"/>
        <v>0</v>
      </c>
      <c r="Z104" s="2">
        <v>0</v>
      </c>
      <c r="AA104" s="2">
        <v>0</v>
      </c>
      <c r="AB104" s="2">
        <v>0</v>
      </c>
      <c r="AC104" s="2">
        <f t="shared" si="12"/>
        <v>0</v>
      </c>
      <c r="AD104" s="2">
        <v>0</v>
      </c>
      <c r="AE104" s="2">
        <v>1</v>
      </c>
      <c r="AF104" s="2">
        <v>0</v>
      </c>
      <c r="AG104" s="2">
        <v>1</v>
      </c>
      <c r="AH104" s="2">
        <v>0</v>
      </c>
      <c r="AI104" s="2">
        <v>0</v>
      </c>
      <c r="AJ104" s="2">
        <v>1</v>
      </c>
      <c r="AK104" s="2">
        <v>0</v>
      </c>
      <c r="AL104">
        <f t="shared" si="13"/>
        <v>0</v>
      </c>
      <c r="AM104" t="s">
        <v>6</v>
      </c>
      <c r="AN104" t="s">
        <v>269</v>
      </c>
    </row>
    <row r="105" spans="1:40" x14ac:dyDescent="0.35">
      <c r="A105">
        <v>182</v>
      </c>
      <c r="B105" t="s">
        <v>18</v>
      </c>
      <c r="C105">
        <v>-0.04</v>
      </c>
      <c r="D105" s="2">
        <v>103</v>
      </c>
      <c r="E105" t="s">
        <v>160</v>
      </c>
      <c r="F105" t="s">
        <v>53</v>
      </c>
      <c r="G105" t="s">
        <v>166</v>
      </c>
      <c r="H105">
        <v>0</v>
      </c>
      <c r="I105" s="13">
        <v>0.25</v>
      </c>
      <c r="J105">
        <v>1</v>
      </c>
      <c r="K105" s="2">
        <v>4</v>
      </c>
      <c r="L105">
        <v>4</v>
      </c>
      <c r="M105" s="2">
        <f t="shared" si="7"/>
        <v>0</v>
      </c>
      <c r="N105" s="9">
        <v>4</v>
      </c>
      <c r="O105" s="9">
        <v>3</v>
      </c>
      <c r="P105">
        <f t="shared" si="8"/>
        <v>-1</v>
      </c>
      <c r="Q105" s="9">
        <v>1</v>
      </c>
      <c r="R105" s="9">
        <v>1</v>
      </c>
      <c r="S105">
        <f t="shared" si="9"/>
        <v>0</v>
      </c>
      <c r="T105">
        <v>1</v>
      </c>
      <c r="U105">
        <v>1</v>
      </c>
      <c r="V105">
        <f t="shared" si="10"/>
        <v>0</v>
      </c>
      <c r="W105">
        <v>1</v>
      </c>
      <c r="X105">
        <v>1</v>
      </c>
      <c r="Y105">
        <f t="shared" si="11"/>
        <v>0</v>
      </c>
      <c r="Z105" s="2">
        <v>0</v>
      </c>
      <c r="AA105" s="2">
        <v>1</v>
      </c>
      <c r="AB105" s="2">
        <v>0</v>
      </c>
      <c r="AC105" s="2">
        <f t="shared" si="12"/>
        <v>1</v>
      </c>
      <c r="AD105" s="2">
        <v>0</v>
      </c>
      <c r="AE105" s="2">
        <v>0</v>
      </c>
      <c r="AF105" s="2">
        <v>0</v>
      </c>
      <c r="AG105" s="2">
        <v>1</v>
      </c>
      <c r="AH105" s="2">
        <v>0</v>
      </c>
      <c r="AI105" s="2">
        <v>0</v>
      </c>
      <c r="AJ105" s="2">
        <v>0</v>
      </c>
      <c r="AK105" s="2">
        <v>0</v>
      </c>
      <c r="AL105">
        <f t="shared" si="13"/>
        <v>0</v>
      </c>
      <c r="AM105" t="s">
        <v>136</v>
      </c>
      <c r="AN105" t="s">
        <v>270</v>
      </c>
    </row>
    <row r="106" spans="1:40" x14ac:dyDescent="0.35">
      <c r="A106">
        <v>185</v>
      </c>
      <c r="B106" t="s">
        <v>127</v>
      </c>
      <c r="C106" s="9">
        <v>1.81</v>
      </c>
      <c r="D106" s="2">
        <v>7</v>
      </c>
      <c r="E106" t="s">
        <v>61</v>
      </c>
      <c r="F106" t="s">
        <v>55</v>
      </c>
      <c r="G106" t="s">
        <v>166</v>
      </c>
      <c r="H106">
        <v>0</v>
      </c>
      <c r="I106" s="13">
        <v>0.5</v>
      </c>
      <c r="J106">
        <v>1</v>
      </c>
      <c r="K106" s="2">
        <v>5</v>
      </c>
      <c r="L106">
        <v>5</v>
      </c>
      <c r="M106" s="2">
        <f t="shared" si="7"/>
        <v>0</v>
      </c>
      <c r="N106" s="9">
        <v>7</v>
      </c>
      <c r="O106" s="9">
        <v>7</v>
      </c>
      <c r="P106">
        <f t="shared" si="8"/>
        <v>0</v>
      </c>
      <c r="Q106">
        <v>1</v>
      </c>
      <c r="R106">
        <v>1</v>
      </c>
      <c r="S106">
        <f t="shared" si="9"/>
        <v>0</v>
      </c>
      <c r="T106">
        <v>2</v>
      </c>
      <c r="U106">
        <v>3</v>
      </c>
      <c r="V106">
        <f t="shared" si="10"/>
        <v>1</v>
      </c>
      <c r="W106">
        <v>1</v>
      </c>
      <c r="X106">
        <v>1</v>
      </c>
      <c r="Y106">
        <f t="shared" si="11"/>
        <v>0</v>
      </c>
      <c r="Z106" s="2">
        <v>0</v>
      </c>
      <c r="AA106" s="2">
        <v>1</v>
      </c>
      <c r="AB106" s="2">
        <v>1</v>
      </c>
      <c r="AC106" s="2">
        <f t="shared" si="12"/>
        <v>1</v>
      </c>
      <c r="AD106" s="2">
        <v>1</v>
      </c>
      <c r="AE106" s="2">
        <v>1</v>
      </c>
      <c r="AF106" s="2">
        <v>0</v>
      </c>
      <c r="AG106" s="2">
        <v>1</v>
      </c>
      <c r="AH106" s="2">
        <v>0</v>
      </c>
      <c r="AI106" s="2">
        <v>0</v>
      </c>
      <c r="AJ106" s="2">
        <v>0</v>
      </c>
      <c r="AK106" s="2">
        <v>1</v>
      </c>
      <c r="AL106">
        <f t="shared" si="13"/>
        <v>0</v>
      </c>
      <c r="AM106" t="s">
        <v>43</v>
      </c>
      <c r="AN106" t="s">
        <v>270</v>
      </c>
    </row>
    <row r="107" spans="1:40" x14ac:dyDescent="0.35">
      <c r="A107">
        <v>186</v>
      </c>
      <c r="B107" t="s">
        <v>14</v>
      </c>
      <c r="C107">
        <v>1.42</v>
      </c>
      <c r="D107" s="5">
        <v>6</v>
      </c>
      <c r="E107" t="s">
        <v>160</v>
      </c>
      <c r="F107" t="s">
        <v>53</v>
      </c>
      <c r="G107" t="s">
        <v>166</v>
      </c>
      <c r="H107">
        <v>0</v>
      </c>
      <c r="I107" s="13">
        <v>0.25</v>
      </c>
      <c r="J107">
        <v>1</v>
      </c>
      <c r="K107" s="2">
        <v>1</v>
      </c>
      <c r="L107">
        <v>1</v>
      </c>
      <c r="M107" s="2">
        <f t="shared" si="7"/>
        <v>0</v>
      </c>
      <c r="N107" s="9">
        <v>8</v>
      </c>
      <c r="O107" s="9">
        <v>6</v>
      </c>
      <c r="P107">
        <f t="shared" si="8"/>
        <v>-2</v>
      </c>
      <c r="Q107">
        <v>1</v>
      </c>
      <c r="R107">
        <v>1</v>
      </c>
      <c r="S107">
        <f t="shared" si="9"/>
        <v>0</v>
      </c>
      <c r="T107">
        <v>2</v>
      </c>
      <c r="U107">
        <v>1</v>
      </c>
      <c r="V107">
        <f t="shared" si="10"/>
        <v>-1</v>
      </c>
      <c r="W107">
        <v>1</v>
      </c>
      <c r="X107">
        <v>1</v>
      </c>
      <c r="Y107">
        <f t="shared" si="11"/>
        <v>0</v>
      </c>
      <c r="Z107" s="2">
        <v>0</v>
      </c>
      <c r="AA107" s="2">
        <v>1</v>
      </c>
      <c r="AB107" s="2">
        <v>0</v>
      </c>
      <c r="AC107" s="2">
        <f t="shared" si="12"/>
        <v>1</v>
      </c>
      <c r="AD107" s="2">
        <v>0</v>
      </c>
      <c r="AE107" s="2">
        <v>1</v>
      </c>
      <c r="AF107" s="2">
        <v>0</v>
      </c>
      <c r="AG107" s="2">
        <v>1</v>
      </c>
      <c r="AH107" s="2">
        <v>0</v>
      </c>
      <c r="AI107" s="2">
        <v>0</v>
      </c>
      <c r="AJ107" s="2">
        <v>1</v>
      </c>
      <c r="AK107" s="2">
        <v>0</v>
      </c>
      <c r="AL107">
        <f t="shared" si="13"/>
        <v>0</v>
      </c>
      <c r="AM107" s="9" t="s">
        <v>39</v>
      </c>
      <c r="AN107" t="s">
        <v>270</v>
      </c>
    </row>
    <row r="108" spans="1:40" x14ac:dyDescent="0.35">
      <c r="A108">
        <v>187</v>
      </c>
      <c r="B108" t="s">
        <v>127</v>
      </c>
      <c r="C108" s="9">
        <v>1.81</v>
      </c>
      <c r="D108" s="5">
        <v>95</v>
      </c>
      <c r="E108" t="s">
        <v>61</v>
      </c>
      <c r="F108" t="s">
        <v>56</v>
      </c>
      <c r="G108" t="s">
        <v>166</v>
      </c>
      <c r="H108">
        <v>0</v>
      </c>
      <c r="I108" s="13">
        <v>1</v>
      </c>
      <c r="J108">
        <v>1</v>
      </c>
      <c r="K108" s="2">
        <v>3</v>
      </c>
      <c r="L108">
        <v>3</v>
      </c>
      <c r="M108" s="2">
        <f t="shared" si="7"/>
        <v>0</v>
      </c>
      <c r="N108" s="9">
        <v>10</v>
      </c>
      <c r="O108" s="9">
        <v>8</v>
      </c>
      <c r="P108">
        <f t="shared" si="8"/>
        <v>-2</v>
      </c>
      <c r="Q108">
        <v>2</v>
      </c>
      <c r="R108">
        <v>2</v>
      </c>
      <c r="S108">
        <f t="shared" si="9"/>
        <v>0</v>
      </c>
      <c r="T108">
        <v>5</v>
      </c>
      <c r="U108">
        <v>3</v>
      </c>
      <c r="V108">
        <f t="shared" si="10"/>
        <v>-2</v>
      </c>
      <c r="W108">
        <v>0</v>
      </c>
      <c r="X108">
        <v>0</v>
      </c>
      <c r="Y108">
        <f t="shared" si="11"/>
        <v>0</v>
      </c>
      <c r="Z108" s="2">
        <v>0</v>
      </c>
      <c r="AA108" s="2">
        <v>0</v>
      </c>
      <c r="AB108" s="2">
        <v>0</v>
      </c>
      <c r="AC108" s="2">
        <f t="shared" si="12"/>
        <v>0</v>
      </c>
      <c r="AD108" s="2">
        <v>0</v>
      </c>
      <c r="AE108" s="2">
        <v>1</v>
      </c>
      <c r="AF108" s="2">
        <v>0</v>
      </c>
      <c r="AG108" s="2">
        <v>1</v>
      </c>
      <c r="AH108" s="2">
        <v>0</v>
      </c>
      <c r="AI108" s="2">
        <v>0</v>
      </c>
      <c r="AJ108" s="2">
        <v>1</v>
      </c>
      <c r="AK108" s="2">
        <v>1</v>
      </c>
      <c r="AL108">
        <f t="shared" si="13"/>
        <v>0</v>
      </c>
      <c r="AM108" s="9" t="s">
        <v>39</v>
      </c>
      <c r="AN108" t="s">
        <v>270</v>
      </c>
    </row>
    <row r="109" spans="1:40" x14ac:dyDescent="0.35">
      <c r="A109">
        <v>188</v>
      </c>
      <c r="B109" t="s">
        <v>18</v>
      </c>
      <c r="C109">
        <v>-0.04</v>
      </c>
      <c r="D109" s="2">
        <v>60</v>
      </c>
      <c r="E109" t="s">
        <v>162</v>
      </c>
      <c r="F109" t="s">
        <v>55</v>
      </c>
      <c r="G109" t="s">
        <v>167</v>
      </c>
      <c r="H109">
        <v>0</v>
      </c>
      <c r="I109" s="13">
        <v>0.5</v>
      </c>
      <c r="J109">
        <v>1</v>
      </c>
      <c r="K109" s="2">
        <v>5</v>
      </c>
      <c r="L109">
        <v>5</v>
      </c>
      <c r="M109" s="2">
        <f t="shared" si="7"/>
        <v>0</v>
      </c>
      <c r="N109" s="9">
        <v>6</v>
      </c>
      <c r="O109" s="9">
        <v>6</v>
      </c>
      <c r="P109">
        <f t="shared" si="8"/>
        <v>0</v>
      </c>
      <c r="Q109">
        <v>2</v>
      </c>
      <c r="R109">
        <v>2</v>
      </c>
      <c r="S109">
        <f t="shared" si="9"/>
        <v>0</v>
      </c>
      <c r="T109">
        <v>2</v>
      </c>
      <c r="U109">
        <v>2</v>
      </c>
      <c r="V109">
        <f t="shared" si="10"/>
        <v>0</v>
      </c>
      <c r="W109">
        <v>1</v>
      </c>
      <c r="X109">
        <v>1</v>
      </c>
      <c r="Y109">
        <f t="shared" si="11"/>
        <v>0</v>
      </c>
      <c r="Z109" s="2">
        <v>0</v>
      </c>
      <c r="AA109" s="2">
        <v>1</v>
      </c>
      <c r="AB109" s="2">
        <v>0</v>
      </c>
      <c r="AC109" s="2">
        <f t="shared" si="12"/>
        <v>1</v>
      </c>
      <c r="AD109" s="2">
        <v>0</v>
      </c>
      <c r="AE109" s="2">
        <v>1</v>
      </c>
      <c r="AF109" s="2">
        <v>0</v>
      </c>
      <c r="AG109" s="2">
        <v>1</v>
      </c>
      <c r="AH109" s="2">
        <v>0</v>
      </c>
      <c r="AI109" s="2">
        <v>1</v>
      </c>
      <c r="AJ109" s="2">
        <v>0</v>
      </c>
      <c r="AK109" s="2">
        <v>1</v>
      </c>
      <c r="AL109">
        <f t="shared" si="13"/>
        <v>0</v>
      </c>
      <c r="AM109" t="s">
        <v>136</v>
      </c>
      <c r="AN109" t="s">
        <v>270</v>
      </c>
    </row>
    <row r="110" spans="1:40" x14ac:dyDescent="0.35">
      <c r="A110">
        <v>189</v>
      </c>
      <c r="B110" t="s">
        <v>18</v>
      </c>
      <c r="C110">
        <v>-0.04</v>
      </c>
      <c r="D110" s="2">
        <v>97</v>
      </c>
      <c r="E110" t="s">
        <v>160</v>
      </c>
      <c r="F110" t="s">
        <v>55</v>
      </c>
      <c r="G110" t="s">
        <v>166</v>
      </c>
      <c r="H110">
        <v>0</v>
      </c>
      <c r="I110" s="13">
        <v>0.25</v>
      </c>
      <c r="J110">
        <v>1</v>
      </c>
      <c r="K110" s="2">
        <v>5</v>
      </c>
      <c r="L110">
        <v>5</v>
      </c>
      <c r="M110" s="2">
        <f t="shared" si="7"/>
        <v>0</v>
      </c>
      <c r="N110" s="9">
        <v>5</v>
      </c>
      <c r="O110" s="9">
        <v>4</v>
      </c>
      <c r="P110">
        <f t="shared" si="8"/>
        <v>-1</v>
      </c>
      <c r="Q110">
        <v>3</v>
      </c>
      <c r="R110">
        <v>3</v>
      </c>
      <c r="S110">
        <f t="shared" si="9"/>
        <v>0</v>
      </c>
      <c r="T110">
        <v>4</v>
      </c>
      <c r="U110">
        <v>2</v>
      </c>
      <c r="V110">
        <f t="shared" si="10"/>
        <v>-2</v>
      </c>
      <c r="W110">
        <v>1</v>
      </c>
      <c r="X110">
        <v>1</v>
      </c>
      <c r="Y110">
        <f t="shared" si="11"/>
        <v>0</v>
      </c>
      <c r="Z110" s="2">
        <v>0</v>
      </c>
      <c r="AA110" s="2">
        <v>1</v>
      </c>
      <c r="AB110" s="2">
        <v>0</v>
      </c>
      <c r="AC110" s="2">
        <f t="shared" si="12"/>
        <v>1</v>
      </c>
      <c r="AD110" s="2">
        <v>0</v>
      </c>
      <c r="AE110" s="2">
        <v>1</v>
      </c>
      <c r="AF110" s="2">
        <v>0</v>
      </c>
      <c r="AG110" s="2">
        <v>0</v>
      </c>
      <c r="AH110" s="2">
        <v>0</v>
      </c>
      <c r="AI110" s="2">
        <v>0</v>
      </c>
      <c r="AJ110" s="2">
        <v>0</v>
      </c>
      <c r="AK110" s="2">
        <v>0</v>
      </c>
      <c r="AL110">
        <f t="shared" si="13"/>
        <v>0</v>
      </c>
      <c r="AM110" t="s">
        <v>136</v>
      </c>
      <c r="AN110" t="s">
        <v>270</v>
      </c>
    </row>
    <row r="111" spans="1:40" x14ac:dyDescent="0.35">
      <c r="A111">
        <v>190</v>
      </c>
      <c r="B111" t="s">
        <v>14</v>
      </c>
      <c r="C111">
        <v>1.42</v>
      </c>
      <c r="D111" s="2">
        <v>1</v>
      </c>
      <c r="E111" t="s">
        <v>160</v>
      </c>
      <c r="F111" t="s">
        <v>55</v>
      </c>
      <c r="G111" t="s">
        <v>166</v>
      </c>
      <c r="H111">
        <v>0</v>
      </c>
      <c r="I111" s="13">
        <v>0.75</v>
      </c>
      <c r="J111">
        <v>1</v>
      </c>
      <c r="K111" s="2">
        <v>4</v>
      </c>
      <c r="L111">
        <v>1</v>
      </c>
      <c r="M111" s="2">
        <f t="shared" si="7"/>
        <v>-3</v>
      </c>
      <c r="N111" s="9">
        <v>9</v>
      </c>
      <c r="O111" s="9">
        <v>9</v>
      </c>
      <c r="P111">
        <f t="shared" si="8"/>
        <v>0</v>
      </c>
      <c r="Q111" s="9">
        <v>2</v>
      </c>
      <c r="R111" s="9">
        <v>2</v>
      </c>
      <c r="S111">
        <f t="shared" si="9"/>
        <v>0</v>
      </c>
      <c r="T111">
        <v>3</v>
      </c>
      <c r="U111">
        <v>3</v>
      </c>
      <c r="V111">
        <f t="shared" si="10"/>
        <v>0</v>
      </c>
      <c r="W111">
        <v>1</v>
      </c>
      <c r="X111">
        <v>1</v>
      </c>
      <c r="Y111">
        <f t="shared" si="11"/>
        <v>0</v>
      </c>
      <c r="Z111" s="2">
        <v>0</v>
      </c>
      <c r="AA111" s="2">
        <v>0</v>
      </c>
      <c r="AB111" s="2">
        <v>0</v>
      </c>
      <c r="AC111" s="2">
        <f t="shared" si="12"/>
        <v>0</v>
      </c>
      <c r="AD111" s="2">
        <v>0</v>
      </c>
      <c r="AE111" s="2">
        <v>1</v>
      </c>
      <c r="AF111" s="2">
        <v>0</v>
      </c>
      <c r="AG111" s="2">
        <v>1</v>
      </c>
      <c r="AH111" s="2">
        <v>0</v>
      </c>
      <c r="AI111" s="2">
        <v>1</v>
      </c>
      <c r="AJ111" s="2">
        <v>0</v>
      </c>
      <c r="AK111" s="2">
        <v>0</v>
      </c>
      <c r="AL111">
        <f t="shared" si="13"/>
        <v>0</v>
      </c>
      <c r="AM111" t="s">
        <v>6</v>
      </c>
      <c r="AN111" t="s">
        <v>269</v>
      </c>
    </row>
    <row r="112" spans="1:40" x14ac:dyDescent="0.35">
      <c r="A112">
        <v>191</v>
      </c>
      <c r="B112" t="s">
        <v>16</v>
      </c>
      <c r="C112">
        <v>1.61</v>
      </c>
      <c r="D112" s="2">
        <v>7</v>
      </c>
      <c r="E112" t="s">
        <v>52</v>
      </c>
      <c r="F112" t="s">
        <v>53</v>
      </c>
      <c r="G112" t="s">
        <v>166</v>
      </c>
      <c r="H112">
        <v>0</v>
      </c>
      <c r="I112" s="13">
        <v>0.5</v>
      </c>
      <c r="J112">
        <v>2</v>
      </c>
      <c r="K112" s="2">
        <v>9</v>
      </c>
      <c r="L112">
        <v>9</v>
      </c>
      <c r="M112" s="2">
        <f t="shared" si="7"/>
        <v>0</v>
      </c>
      <c r="N112" s="9">
        <v>10</v>
      </c>
      <c r="O112" s="9">
        <v>10</v>
      </c>
      <c r="P112">
        <f t="shared" si="8"/>
        <v>0</v>
      </c>
      <c r="Q112" s="9">
        <v>3</v>
      </c>
      <c r="R112" s="9">
        <v>3</v>
      </c>
      <c r="S112">
        <f t="shared" si="9"/>
        <v>0</v>
      </c>
      <c r="T112">
        <v>5</v>
      </c>
      <c r="U112">
        <v>4</v>
      </c>
      <c r="V112">
        <f t="shared" si="10"/>
        <v>-1</v>
      </c>
      <c r="W112">
        <v>1</v>
      </c>
      <c r="X112">
        <v>1</v>
      </c>
      <c r="Y112">
        <f t="shared" si="11"/>
        <v>0</v>
      </c>
      <c r="Z112" s="2">
        <v>0</v>
      </c>
      <c r="AA112" s="2">
        <v>0</v>
      </c>
      <c r="AB112" s="2">
        <v>0</v>
      </c>
      <c r="AC112" s="2">
        <f t="shared" si="12"/>
        <v>0</v>
      </c>
      <c r="AD112" s="2">
        <v>0</v>
      </c>
      <c r="AE112" s="2">
        <v>1</v>
      </c>
      <c r="AF112" s="2">
        <v>0</v>
      </c>
      <c r="AG112" s="2">
        <v>1</v>
      </c>
      <c r="AH112" s="2">
        <v>0</v>
      </c>
      <c r="AI112" s="2">
        <v>0</v>
      </c>
      <c r="AJ112" s="2">
        <v>1</v>
      </c>
      <c r="AK112" s="2">
        <v>0</v>
      </c>
      <c r="AL112">
        <f t="shared" si="13"/>
        <v>0</v>
      </c>
      <c r="AM112" s="2" t="s">
        <v>9</v>
      </c>
      <c r="AN112" t="s">
        <v>269</v>
      </c>
    </row>
    <row r="113" spans="1:40" x14ac:dyDescent="0.35">
      <c r="A113" s="7">
        <v>198</v>
      </c>
      <c r="B113" s="7" t="s">
        <v>127</v>
      </c>
      <c r="C113" s="9">
        <v>1.81</v>
      </c>
      <c r="D113" s="2">
        <v>22</v>
      </c>
      <c r="E113" s="7" t="s">
        <v>162</v>
      </c>
      <c r="F113" t="s">
        <v>55</v>
      </c>
      <c r="G113" t="s">
        <v>166</v>
      </c>
      <c r="H113">
        <v>0</v>
      </c>
      <c r="I113" s="13">
        <v>0.5</v>
      </c>
      <c r="J113" s="7">
        <v>1</v>
      </c>
      <c r="K113" s="12">
        <v>1</v>
      </c>
      <c r="L113" s="7">
        <v>1</v>
      </c>
      <c r="M113" s="2">
        <f t="shared" si="7"/>
        <v>0</v>
      </c>
      <c r="N113" s="9">
        <v>2</v>
      </c>
      <c r="O113" s="9">
        <v>2</v>
      </c>
      <c r="P113">
        <f t="shared" si="8"/>
        <v>0</v>
      </c>
      <c r="Q113" s="9">
        <v>1</v>
      </c>
      <c r="R113" s="9">
        <v>1</v>
      </c>
      <c r="S113">
        <f t="shared" si="9"/>
        <v>0</v>
      </c>
      <c r="T113">
        <v>1</v>
      </c>
      <c r="U113">
        <v>1</v>
      </c>
      <c r="V113">
        <f t="shared" si="10"/>
        <v>0</v>
      </c>
      <c r="W113">
        <v>1</v>
      </c>
      <c r="X113">
        <v>1</v>
      </c>
      <c r="Y113">
        <f t="shared" si="11"/>
        <v>0</v>
      </c>
      <c r="Z113" s="2">
        <v>0</v>
      </c>
      <c r="AA113" s="2">
        <v>0</v>
      </c>
      <c r="AB113" s="2">
        <v>1</v>
      </c>
      <c r="AC113" s="2">
        <f t="shared" si="12"/>
        <v>1</v>
      </c>
      <c r="AD113" s="2">
        <v>1</v>
      </c>
      <c r="AE113" s="2">
        <v>0</v>
      </c>
      <c r="AF113" s="2">
        <v>0</v>
      </c>
      <c r="AG113" s="2">
        <v>0</v>
      </c>
      <c r="AH113" s="2">
        <v>0</v>
      </c>
      <c r="AI113" s="2">
        <v>0</v>
      </c>
      <c r="AJ113" s="2">
        <v>1</v>
      </c>
      <c r="AK113" s="2">
        <v>1</v>
      </c>
      <c r="AL113">
        <f t="shared" si="13"/>
        <v>0</v>
      </c>
      <c r="AM113" s="2" t="s">
        <v>138</v>
      </c>
      <c r="AN113" t="s">
        <v>270</v>
      </c>
    </row>
    <row r="114" spans="1:40" x14ac:dyDescent="0.35">
      <c r="A114" s="7">
        <v>205</v>
      </c>
      <c r="B114" s="7" t="s">
        <v>18</v>
      </c>
      <c r="C114">
        <v>-0.04</v>
      </c>
      <c r="D114" s="5">
        <v>12</v>
      </c>
      <c r="E114" s="7" t="s">
        <v>61</v>
      </c>
      <c r="F114" t="s">
        <v>56</v>
      </c>
      <c r="G114" s="7" t="s">
        <v>167</v>
      </c>
      <c r="H114">
        <v>0</v>
      </c>
      <c r="I114" s="13">
        <v>0.25</v>
      </c>
      <c r="J114" s="7">
        <v>1</v>
      </c>
      <c r="K114" s="12">
        <v>2</v>
      </c>
      <c r="L114" s="7">
        <v>2</v>
      </c>
      <c r="M114" s="2">
        <f t="shared" ref="M114:M124" si="14">L114-K114</f>
        <v>0</v>
      </c>
      <c r="N114" s="9">
        <v>3</v>
      </c>
      <c r="O114" s="9">
        <v>3</v>
      </c>
      <c r="P114">
        <f t="shared" ref="P114:P124" si="15">O114-N114</f>
        <v>0</v>
      </c>
      <c r="Q114" s="9">
        <v>1</v>
      </c>
      <c r="R114" s="9">
        <v>1</v>
      </c>
      <c r="S114">
        <f t="shared" ref="S114:S124" si="16">R114-Q114</f>
        <v>0</v>
      </c>
      <c r="T114">
        <v>1</v>
      </c>
      <c r="U114">
        <v>2</v>
      </c>
      <c r="V114">
        <f t="shared" ref="V114:V124" si="17">U114-T114</f>
        <v>1</v>
      </c>
      <c r="W114">
        <v>0</v>
      </c>
      <c r="X114">
        <v>1</v>
      </c>
      <c r="Y114">
        <f t="shared" ref="Y114:Y123" si="18">X114-W114</f>
        <v>1</v>
      </c>
      <c r="Z114" s="12">
        <v>0</v>
      </c>
      <c r="AA114" s="2">
        <v>0</v>
      </c>
      <c r="AB114" s="2">
        <v>0</v>
      </c>
      <c r="AC114" s="2">
        <f t="shared" ref="AC114:AC123" si="19">IF(AA114+AB114&gt;0,1,0)</f>
        <v>0</v>
      </c>
      <c r="AD114" s="2">
        <v>0</v>
      </c>
      <c r="AE114" s="2">
        <v>1</v>
      </c>
      <c r="AF114" s="2">
        <v>0</v>
      </c>
      <c r="AG114" s="2">
        <v>1</v>
      </c>
      <c r="AH114" s="2">
        <v>0</v>
      </c>
      <c r="AI114" s="2">
        <v>0</v>
      </c>
      <c r="AJ114" s="2">
        <v>0</v>
      </c>
      <c r="AK114" s="2">
        <v>1</v>
      </c>
      <c r="AL114">
        <f t="shared" ref="AL114:AL123" si="20">IF(Z114+AC114+AD114+AE114+AG114+AJ114+AK114=0,1,0)</f>
        <v>0</v>
      </c>
      <c r="AM114" s="5" t="s">
        <v>39</v>
      </c>
      <c r="AN114" t="s">
        <v>270</v>
      </c>
    </row>
    <row r="115" spans="1:40" x14ac:dyDescent="0.35">
      <c r="A115" s="7">
        <v>206</v>
      </c>
      <c r="B115" s="7" t="s">
        <v>18</v>
      </c>
      <c r="C115">
        <v>-0.04</v>
      </c>
      <c r="D115" s="5">
        <v>13</v>
      </c>
      <c r="E115" s="7" t="s">
        <v>160</v>
      </c>
      <c r="F115" t="s">
        <v>53</v>
      </c>
      <c r="G115" t="s">
        <v>166</v>
      </c>
      <c r="H115">
        <v>0</v>
      </c>
      <c r="I115" s="13">
        <v>0.25</v>
      </c>
      <c r="J115" s="7">
        <v>1</v>
      </c>
      <c r="K115" s="12">
        <v>3</v>
      </c>
      <c r="L115" s="7">
        <v>3</v>
      </c>
      <c r="M115" s="2">
        <f t="shared" si="14"/>
        <v>0</v>
      </c>
      <c r="N115" s="9">
        <v>8</v>
      </c>
      <c r="O115" s="9">
        <v>7</v>
      </c>
      <c r="P115">
        <f t="shared" si="15"/>
        <v>-1</v>
      </c>
      <c r="Q115" s="9">
        <v>2</v>
      </c>
      <c r="R115" s="9">
        <v>2</v>
      </c>
      <c r="S115">
        <f t="shared" si="16"/>
        <v>0</v>
      </c>
      <c r="T115">
        <v>2</v>
      </c>
      <c r="U115">
        <v>2</v>
      </c>
      <c r="V115">
        <f t="shared" si="17"/>
        <v>0</v>
      </c>
      <c r="W115">
        <v>0</v>
      </c>
      <c r="X115">
        <v>1</v>
      </c>
      <c r="Y115">
        <f t="shared" si="18"/>
        <v>1</v>
      </c>
      <c r="Z115" s="12">
        <v>0</v>
      </c>
      <c r="AA115" s="2">
        <v>0</v>
      </c>
      <c r="AB115" s="2">
        <v>0</v>
      </c>
      <c r="AC115" s="2">
        <f t="shared" si="19"/>
        <v>0</v>
      </c>
      <c r="AD115" s="2">
        <v>0</v>
      </c>
      <c r="AE115" s="2">
        <v>0</v>
      </c>
      <c r="AF115" s="2">
        <v>0</v>
      </c>
      <c r="AG115" s="2">
        <v>1</v>
      </c>
      <c r="AH115" s="2">
        <v>0</v>
      </c>
      <c r="AI115" s="2">
        <v>0</v>
      </c>
      <c r="AJ115" s="2">
        <v>1</v>
      </c>
      <c r="AK115" s="2">
        <v>0</v>
      </c>
      <c r="AL115">
        <f t="shared" si="20"/>
        <v>0</v>
      </c>
      <c r="AM115" s="5" t="s">
        <v>39</v>
      </c>
      <c r="AN115" t="s">
        <v>270</v>
      </c>
    </row>
    <row r="116" spans="1:40" x14ac:dyDescent="0.35">
      <c r="A116" s="7">
        <v>208</v>
      </c>
      <c r="B116" s="7" t="s">
        <v>127</v>
      </c>
      <c r="C116" s="9">
        <v>1.81</v>
      </c>
      <c r="D116" s="2">
        <v>12</v>
      </c>
      <c r="E116" s="7" t="s">
        <v>141</v>
      </c>
      <c r="F116" t="s">
        <v>53</v>
      </c>
      <c r="G116" t="s">
        <v>166</v>
      </c>
      <c r="H116">
        <v>0</v>
      </c>
      <c r="I116" s="13">
        <v>0.75</v>
      </c>
      <c r="J116" s="7">
        <v>1</v>
      </c>
      <c r="K116" s="12">
        <v>4</v>
      </c>
      <c r="L116" s="7">
        <v>4</v>
      </c>
      <c r="M116" s="2">
        <f t="shared" si="14"/>
        <v>0</v>
      </c>
      <c r="N116" s="9">
        <v>8</v>
      </c>
      <c r="O116" s="9">
        <v>2</v>
      </c>
      <c r="P116">
        <f t="shared" si="15"/>
        <v>-6</v>
      </c>
      <c r="Q116" s="9">
        <v>3</v>
      </c>
      <c r="R116" s="9">
        <v>3</v>
      </c>
      <c r="S116">
        <f t="shared" si="16"/>
        <v>0</v>
      </c>
      <c r="T116">
        <v>1</v>
      </c>
      <c r="U116">
        <v>1</v>
      </c>
      <c r="V116">
        <f t="shared" si="17"/>
        <v>0</v>
      </c>
      <c r="W116">
        <v>1</v>
      </c>
      <c r="X116">
        <v>1</v>
      </c>
      <c r="Y116">
        <f t="shared" si="18"/>
        <v>0</v>
      </c>
      <c r="Z116" s="12">
        <v>0</v>
      </c>
      <c r="AA116" s="2">
        <v>1</v>
      </c>
      <c r="AB116" s="2">
        <v>0</v>
      </c>
      <c r="AC116" s="2">
        <f t="shared" si="19"/>
        <v>1</v>
      </c>
      <c r="AD116" s="2">
        <v>0</v>
      </c>
      <c r="AE116" s="2">
        <v>0</v>
      </c>
      <c r="AF116" s="2">
        <v>0</v>
      </c>
      <c r="AG116" s="2">
        <v>1</v>
      </c>
      <c r="AH116" s="2">
        <v>0</v>
      </c>
      <c r="AI116" s="2">
        <v>0</v>
      </c>
      <c r="AJ116" s="2">
        <v>0</v>
      </c>
      <c r="AK116" s="2">
        <v>1</v>
      </c>
      <c r="AL116">
        <f t="shared" si="20"/>
        <v>0</v>
      </c>
      <c r="AM116" s="2" t="s">
        <v>43</v>
      </c>
      <c r="AN116" t="s">
        <v>270</v>
      </c>
    </row>
    <row r="117" spans="1:40" x14ac:dyDescent="0.35">
      <c r="A117" s="7">
        <v>211</v>
      </c>
      <c r="B117" t="s">
        <v>18</v>
      </c>
      <c r="C117">
        <v>-0.04</v>
      </c>
      <c r="D117" s="2">
        <v>17</v>
      </c>
      <c r="E117" t="s">
        <v>160</v>
      </c>
      <c r="F117" t="s">
        <v>55</v>
      </c>
      <c r="G117" t="s">
        <v>167</v>
      </c>
      <c r="H117">
        <v>0</v>
      </c>
      <c r="I117" s="13">
        <v>0.25</v>
      </c>
      <c r="J117">
        <v>1</v>
      </c>
      <c r="K117" s="12">
        <v>1</v>
      </c>
      <c r="L117" s="7">
        <v>1</v>
      </c>
      <c r="M117" s="2">
        <f t="shared" si="14"/>
        <v>0</v>
      </c>
      <c r="N117" s="9">
        <v>3</v>
      </c>
      <c r="O117" s="9">
        <v>3</v>
      </c>
      <c r="P117">
        <f t="shared" si="15"/>
        <v>0</v>
      </c>
      <c r="Q117" s="9">
        <v>2</v>
      </c>
      <c r="R117" s="9">
        <v>2</v>
      </c>
      <c r="S117">
        <f t="shared" si="16"/>
        <v>0</v>
      </c>
      <c r="T117">
        <v>1</v>
      </c>
      <c r="U117">
        <v>1</v>
      </c>
      <c r="V117">
        <f t="shared" si="17"/>
        <v>0</v>
      </c>
      <c r="W117">
        <v>0</v>
      </c>
      <c r="X117">
        <v>0</v>
      </c>
      <c r="Y117">
        <f t="shared" si="18"/>
        <v>0</v>
      </c>
      <c r="Z117" s="12">
        <v>0</v>
      </c>
      <c r="AA117" s="2">
        <v>0</v>
      </c>
      <c r="AB117" s="2">
        <v>1</v>
      </c>
      <c r="AC117" s="2">
        <f t="shared" si="19"/>
        <v>1</v>
      </c>
      <c r="AD117" s="2">
        <v>0</v>
      </c>
      <c r="AE117" s="2">
        <v>1</v>
      </c>
      <c r="AF117" s="2">
        <v>0</v>
      </c>
      <c r="AG117" s="2">
        <v>1</v>
      </c>
      <c r="AH117" s="2">
        <v>1</v>
      </c>
      <c r="AI117" s="2">
        <v>1</v>
      </c>
      <c r="AJ117" s="2">
        <v>0</v>
      </c>
      <c r="AK117" s="2">
        <v>0</v>
      </c>
      <c r="AL117">
        <f t="shared" si="20"/>
        <v>0</v>
      </c>
      <c r="AM117" s="2" t="s">
        <v>137</v>
      </c>
      <c r="AN117" t="s">
        <v>270</v>
      </c>
    </row>
    <row r="118" spans="1:40" x14ac:dyDescent="0.35">
      <c r="A118" s="7">
        <v>212</v>
      </c>
      <c r="B118" t="s">
        <v>18</v>
      </c>
      <c r="C118">
        <v>-0.04</v>
      </c>
      <c r="D118" s="5">
        <v>98</v>
      </c>
      <c r="E118" t="s">
        <v>160</v>
      </c>
      <c r="F118" t="s">
        <v>53</v>
      </c>
      <c r="G118" t="s">
        <v>166</v>
      </c>
      <c r="H118">
        <v>0</v>
      </c>
      <c r="I118" s="13">
        <v>0.25</v>
      </c>
      <c r="J118">
        <v>1</v>
      </c>
      <c r="K118" s="12">
        <v>2</v>
      </c>
      <c r="L118" s="7">
        <v>2</v>
      </c>
      <c r="M118" s="2">
        <f t="shared" si="14"/>
        <v>0</v>
      </c>
      <c r="N118" s="9">
        <v>8</v>
      </c>
      <c r="O118" s="9">
        <v>7</v>
      </c>
      <c r="P118">
        <f t="shared" si="15"/>
        <v>-1</v>
      </c>
      <c r="Q118" s="9">
        <v>2</v>
      </c>
      <c r="R118" s="9">
        <v>2</v>
      </c>
      <c r="S118">
        <f t="shared" si="16"/>
        <v>0</v>
      </c>
      <c r="T118">
        <v>2</v>
      </c>
      <c r="U118">
        <v>2</v>
      </c>
      <c r="V118">
        <f t="shared" si="17"/>
        <v>0</v>
      </c>
      <c r="W118">
        <v>1</v>
      </c>
      <c r="X118">
        <v>1</v>
      </c>
      <c r="Y118">
        <f t="shared" si="18"/>
        <v>0</v>
      </c>
      <c r="Z118" s="2">
        <v>0</v>
      </c>
      <c r="AA118" s="2">
        <v>0</v>
      </c>
      <c r="AB118" s="2">
        <v>0</v>
      </c>
      <c r="AC118" s="2">
        <f t="shared" si="19"/>
        <v>0</v>
      </c>
      <c r="AD118" s="2">
        <v>0</v>
      </c>
      <c r="AE118" s="2">
        <v>1</v>
      </c>
      <c r="AF118" s="2">
        <v>0</v>
      </c>
      <c r="AG118" s="2">
        <v>1</v>
      </c>
      <c r="AH118" s="2">
        <v>0</v>
      </c>
      <c r="AI118" s="2">
        <v>0</v>
      </c>
      <c r="AJ118" s="2">
        <v>1</v>
      </c>
      <c r="AK118" s="2">
        <v>1</v>
      </c>
      <c r="AL118">
        <f t="shared" si="20"/>
        <v>0</v>
      </c>
      <c r="AM118" s="5" t="s">
        <v>39</v>
      </c>
      <c r="AN118" t="s">
        <v>270</v>
      </c>
    </row>
    <row r="119" spans="1:40" x14ac:dyDescent="0.35">
      <c r="A119" s="7">
        <v>215</v>
      </c>
      <c r="B119" t="s">
        <v>127</v>
      </c>
      <c r="C119" s="9">
        <v>1.81</v>
      </c>
      <c r="D119" s="2">
        <v>18</v>
      </c>
      <c r="E119" t="s">
        <v>61</v>
      </c>
      <c r="F119" t="s">
        <v>53</v>
      </c>
      <c r="G119" t="s">
        <v>166</v>
      </c>
      <c r="H119">
        <v>0</v>
      </c>
      <c r="I119" s="13">
        <v>0.75</v>
      </c>
      <c r="J119">
        <v>1</v>
      </c>
      <c r="K119" s="12">
        <v>2</v>
      </c>
      <c r="L119" s="7">
        <v>2</v>
      </c>
      <c r="M119" s="2">
        <f t="shared" si="14"/>
        <v>0</v>
      </c>
      <c r="N119" s="9">
        <v>8</v>
      </c>
      <c r="O119" s="9">
        <v>8</v>
      </c>
      <c r="P119">
        <f t="shared" si="15"/>
        <v>0</v>
      </c>
      <c r="Q119" s="9">
        <v>1</v>
      </c>
      <c r="R119" s="9">
        <v>1</v>
      </c>
      <c r="S119">
        <f t="shared" si="16"/>
        <v>0</v>
      </c>
      <c r="T119">
        <v>1</v>
      </c>
      <c r="U119">
        <v>3</v>
      </c>
      <c r="V119">
        <f t="shared" si="17"/>
        <v>2</v>
      </c>
      <c r="W119">
        <v>0</v>
      </c>
      <c r="X119">
        <v>1</v>
      </c>
      <c r="Y119">
        <f t="shared" si="18"/>
        <v>1</v>
      </c>
      <c r="Z119" s="2">
        <v>0</v>
      </c>
      <c r="AA119" s="2">
        <v>1</v>
      </c>
      <c r="AB119" s="2">
        <v>1</v>
      </c>
      <c r="AC119" s="2">
        <f t="shared" si="19"/>
        <v>1</v>
      </c>
      <c r="AD119" s="2">
        <v>0</v>
      </c>
      <c r="AE119" s="2">
        <v>1</v>
      </c>
      <c r="AF119" s="2">
        <v>0</v>
      </c>
      <c r="AG119" s="2">
        <v>1</v>
      </c>
      <c r="AH119" s="2">
        <v>0</v>
      </c>
      <c r="AI119" s="2">
        <v>0</v>
      </c>
      <c r="AJ119" s="2">
        <v>1</v>
      </c>
      <c r="AK119" s="2">
        <v>1</v>
      </c>
      <c r="AL119">
        <f t="shared" si="20"/>
        <v>0</v>
      </c>
      <c r="AM119" s="2" t="s">
        <v>136</v>
      </c>
      <c r="AN119" t="s">
        <v>270</v>
      </c>
    </row>
    <row r="120" spans="1:40" x14ac:dyDescent="0.35">
      <c r="A120" s="7">
        <v>216</v>
      </c>
      <c r="B120" t="s">
        <v>16</v>
      </c>
      <c r="C120">
        <v>1.61</v>
      </c>
      <c r="D120" s="2">
        <v>66</v>
      </c>
      <c r="E120" t="s">
        <v>52</v>
      </c>
      <c r="F120" t="s">
        <v>56</v>
      </c>
      <c r="G120" t="s">
        <v>166</v>
      </c>
      <c r="H120">
        <v>0</v>
      </c>
      <c r="I120" s="13">
        <v>0.5</v>
      </c>
      <c r="J120">
        <v>2</v>
      </c>
      <c r="K120" s="12">
        <v>3</v>
      </c>
      <c r="L120" s="7">
        <v>3</v>
      </c>
      <c r="M120" s="2">
        <f t="shared" si="14"/>
        <v>0</v>
      </c>
      <c r="N120" s="9">
        <v>9</v>
      </c>
      <c r="O120" s="9">
        <v>9</v>
      </c>
      <c r="P120">
        <f t="shared" si="15"/>
        <v>0</v>
      </c>
      <c r="Q120" s="9">
        <v>1</v>
      </c>
      <c r="R120" s="9">
        <v>1</v>
      </c>
      <c r="S120">
        <f t="shared" si="16"/>
        <v>0</v>
      </c>
      <c r="T120">
        <v>2</v>
      </c>
      <c r="U120">
        <v>2</v>
      </c>
      <c r="V120">
        <f t="shared" si="17"/>
        <v>0</v>
      </c>
      <c r="W120">
        <v>0</v>
      </c>
      <c r="X120">
        <v>1</v>
      </c>
      <c r="Y120">
        <f t="shared" si="18"/>
        <v>1</v>
      </c>
      <c r="Z120" s="2">
        <v>0</v>
      </c>
      <c r="AA120" s="2">
        <v>0</v>
      </c>
      <c r="AB120" s="2">
        <v>0</v>
      </c>
      <c r="AC120" s="2">
        <f t="shared" si="19"/>
        <v>0</v>
      </c>
      <c r="AD120" s="2">
        <v>0</v>
      </c>
      <c r="AE120" s="2">
        <v>0</v>
      </c>
      <c r="AF120" s="2">
        <v>0</v>
      </c>
      <c r="AG120" s="2">
        <v>0</v>
      </c>
      <c r="AH120" s="2">
        <v>0</v>
      </c>
      <c r="AI120" s="2">
        <v>0</v>
      </c>
      <c r="AJ120" s="2">
        <v>0</v>
      </c>
      <c r="AK120" s="2">
        <v>0</v>
      </c>
      <c r="AL120">
        <f t="shared" si="20"/>
        <v>1</v>
      </c>
      <c r="AM120" s="2" t="s">
        <v>140</v>
      </c>
      <c r="AN120" t="s">
        <v>271</v>
      </c>
    </row>
    <row r="121" spans="1:40" x14ac:dyDescent="0.35">
      <c r="A121" s="7">
        <v>217</v>
      </c>
      <c r="B121" t="s">
        <v>18</v>
      </c>
      <c r="C121">
        <v>-0.04</v>
      </c>
      <c r="D121" s="2">
        <v>135</v>
      </c>
      <c r="E121" t="s">
        <v>62</v>
      </c>
      <c r="F121" t="s">
        <v>55</v>
      </c>
      <c r="G121" t="s">
        <v>166</v>
      </c>
      <c r="H121">
        <v>0</v>
      </c>
      <c r="I121" s="13">
        <v>0.25</v>
      </c>
      <c r="J121">
        <v>1</v>
      </c>
      <c r="K121" s="12">
        <v>5</v>
      </c>
      <c r="L121" s="7">
        <v>5</v>
      </c>
      <c r="M121" s="2">
        <f t="shared" si="14"/>
        <v>0</v>
      </c>
      <c r="N121" s="9">
        <v>5</v>
      </c>
      <c r="O121" s="9">
        <v>4.5</v>
      </c>
      <c r="P121">
        <f t="shared" si="15"/>
        <v>-0.5</v>
      </c>
      <c r="Q121" s="9">
        <v>2</v>
      </c>
      <c r="R121" s="9">
        <v>2</v>
      </c>
      <c r="S121">
        <f t="shared" si="16"/>
        <v>0</v>
      </c>
      <c r="T121">
        <v>3</v>
      </c>
      <c r="U121">
        <v>3</v>
      </c>
      <c r="V121">
        <f t="shared" si="17"/>
        <v>0</v>
      </c>
      <c r="W121">
        <v>2</v>
      </c>
      <c r="X121">
        <v>2</v>
      </c>
      <c r="Y121">
        <f t="shared" si="18"/>
        <v>0</v>
      </c>
      <c r="Z121" s="2">
        <v>0</v>
      </c>
      <c r="AA121" s="2">
        <v>1</v>
      </c>
      <c r="AB121" s="2">
        <v>1</v>
      </c>
      <c r="AC121" s="2">
        <f t="shared" si="19"/>
        <v>1</v>
      </c>
      <c r="AD121" s="2">
        <v>1</v>
      </c>
      <c r="AE121" s="2">
        <v>1</v>
      </c>
      <c r="AF121" s="2">
        <v>0</v>
      </c>
      <c r="AG121" s="2">
        <v>1</v>
      </c>
      <c r="AH121" s="2">
        <v>1</v>
      </c>
      <c r="AI121" s="2">
        <v>1</v>
      </c>
      <c r="AJ121" s="2">
        <v>1</v>
      </c>
      <c r="AK121" s="2">
        <v>0</v>
      </c>
      <c r="AL121">
        <f t="shared" si="20"/>
        <v>0</v>
      </c>
      <c r="AM121" s="2" t="s">
        <v>6</v>
      </c>
      <c r="AN121" t="s">
        <v>269</v>
      </c>
    </row>
    <row r="122" spans="1:40" x14ac:dyDescent="0.35">
      <c r="A122" s="7">
        <v>218</v>
      </c>
      <c r="B122" t="s">
        <v>18</v>
      </c>
      <c r="C122">
        <v>-0.04</v>
      </c>
      <c r="D122" s="2">
        <v>137</v>
      </c>
      <c r="E122" t="s">
        <v>62</v>
      </c>
      <c r="F122" t="s">
        <v>53</v>
      </c>
      <c r="G122" t="s">
        <v>166</v>
      </c>
      <c r="H122">
        <v>0</v>
      </c>
      <c r="I122" s="13">
        <v>0.5</v>
      </c>
      <c r="J122">
        <v>1</v>
      </c>
      <c r="K122" s="12">
        <v>4</v>
      </c>
      <c r="L122" s="7">
        <v>3</v>
      </c>
      <c r="M122" s="2">
        <f t="shared" si="14"/>
        <v>-1</v>
      </c>
      <c r="N122" s="9">
        <v>9</v>
      </c>
      <c r="O122" s="9">
        <v>4</v>
      </c>
      <c r="P122">
        <f t="shared" si="15"/>
        <v>-5</v>
      </c>
      <c r="Q122" s="9">
        <v>3</v>
      </c>
      <c r="R122" s="9">
        <v>3</v>
      </c>
      <c r="S122">
        <f t="shared" si="16"/>
        <v>0</v>
      </c>
      <c r="T122">
        <v>3</v>
      </c>
      <c r="U122">
        <v>3</v>
      </c>
      <c r="V122">
        <f t="shared" si="17"/>
        <v>0</v>
      </c>
      <c r="W122">
        <v>2</v>
      </c>
      <c r="X122">
        <v>2</v>
      </c>
      <c r="Y122">
        <f t="shared" si="18"/>
        <v>0</v>
      </c>
      <c r="Z122" s="2">
        <v>0</v>
      </c>
      <c r="AA122" s="2">
        <v>0</v>
      </c>
      <c r="AB122" s="2">
        <v>1</v>
      </c>
      <c r="AC122" s="2">
        <f t="shared" si="19"/>
        <v>1</v>
      </c>
      <c r="AD122" s="2">
        <v>0</v>
      </c>
      <c r="AE122" s="2">
        <v>1</v>
      </c>
      <c r="AF122" s="2">
        <v>0</v>
      </c>
      <c r="AG122" s="2">
        <v>1</v>
      </c>
      <c r="AH122" s="2">
        <v>0</v>
      </c>
      <c r="AI122" s="2">
        <v>1</v>
      </c>
      <c r="AJ122" s="2">
        <v>1</v>
      </c>
      <c r="AK122" s="2">
        <v>0</v>
      </c>
      <c r="AL122">
        <f t="shared" si="20"/>
        <v>0</v>
      </c>
      <c r="AM122" s="2" t="s">
        <v>137</v>
      </c>
      <c r="AN122" t="s">
        <v>270</v>
      </c>
    </row>
    <row r="123" spans="1:40" x14ac:dyDescent="0.35">
      <c r="A123" s="7">
        <v>219</v>
      </c>
      <c r="B123" t="s">
        <v>18</v>
      </c>
      <c r="C123">
        <v>-0.04</v>
      </c>
      <c r="D123" s="2">
        <v>135</v>
      </c>
      <c r="E123" t="s">
        <v>62</v>
      </c>
      <c r="F123" t="s">
        <v>53</v>
      </c>
      <c r="G123" t="s">
        <v>166</v>
      </c>
      <c r="H123">
        <v>0</v>
      </c>
      <c r="I123" s="13">
        <v>0.5</v>
      </c>
      <c r="J123">
        <v>1</v>
      </c>
      <c r="K123" s="12">
        <v>3</v>
      </c>
      <c r="L123" s="7">
        <v>3</v>
      </c>
      <c r="M123" s="2">
        <f t="shared" si="14"/>
        <v>0</v>
      </c>
      <c r="N123" s="9">
        <v>5</v>
      </c>
      <c r="O123" s="9">
        <v>5</v>
      </c>
      <c r="P123">
        <f t="shared" si="15"/>
        <v>0</v>
      </c>
      <c r="Q123" s="9">
        <v>3</v>
      </c>
      <c r="R123" s="9">
        <v>3</v>
      </c>
      <c r="S123">
        <f t="shared" si="16"/>
        <v>0</v>
      </c>
      <c r="T123">
        <v>3</v>
      </c>
      <c r="U123">
        <v>3</v>
      </c>
      <c r="V123">
        <f t="shared" si="17"/>
        <v>0</v>
      </c>
      <c r="W123">
        <v>2</v>
      </c>
      <c r="X123">
        <v>2</v>
      </c>
      <c r="Y123">
        <f t="shared" si="18"/>
        <v>0</v>
      </c>
      <c r="Z123" s="2">
        <v>0</v>
      </c>
      <c r="AA123" s="2">
        <v>0</v>
      </c>
      <c r="AB123" s="2">
        <v>1</v>
      </c>
      <c r="AC123" s="2">
        <f t="shared" si="19"/>
        <v>1</v>
      </c>
      <c r="AD123" s="2">
        <v>0</v>
      </c>
      <c r="AE123" s="2">
        <v>1</v>
      </c>
      <c r="AF123" s="2">
        <v>0</v>
      </c>
      <c r="AG123" s="2">
        <v>1</v>
      </c>
      <c r="AH123" s="2">
        <v>0</v>
      </c>
      <c r="AI123" s="2">
        <v>1</v>
      </c>
      <c r="AJ123" s="2">
        <v>1</v>
      </c>
      <c r="AK123" s="2">
        <v>0</v>
      </c>
      <c r="AL123">
        <f t="shared" si="20"/>
        <v>0</v>
      </c>
      <c r="AM123" s="2" t="s">
        <v>6</v>
      </c>
      <c r="AN123" t="s">
        <v>269</v>
      </c>
    </row>
    <row r="124" spans="1:40" x14ac:dyDescent="0.35">
      <c r="A124" s="7">
        <v>221</v>
      </c>
      <c r="B124" t="s">
        <v>165</v>
      </c>
      <c r="C124">
        <v>1.47</v>
      </c>
      <c r="D124" s="2">
        <v>9</v>
      </c>
      <c r="E124" t="s">
        <v>162</v>
      </c>
      <c r="F124" t="s">
        <v>53</v>
      </c>
      <c r="G124" t="s">
        <v>166</v>
      </c>
      <c r="H124">
        <v>0</v>
      </c>
      <c r="I124" s="13">
        <v>0.25</v>
      </c>
      <c r="J124">
        <v>2</v>
      </c>
      <c r="K124" s="2">
        <v>4</v>
      </c>
      <c r="L124" s="7">
        <v>4</v>
      </c>
      <c r="M124" s="2">
        <f t="shared" si="14"/>
        <v>0</v>
      </c>
      <c r="N124" s="9">
        <v>2</v>
      </c>
      <c r="O124" s="9">
        <v>2</v>
      </c>
      <c r="P124">
        <f t="shared" si="15"/>
        <v>0</v>
      </c>
      <c r="Q124" s="9">
        <v>2</v>
      </c>
      <c r="R124" s="9">
        <v>2</v>
      </c>
      <c r="S124">
        <f t="shared" si="16"/>
        <v>0</v>
      </c>
      <c r="T124">
        <v>1</v>
      </c>
      <c r="U124">
        <v>1</v>
      </c>
      <c r="V124">
        <f t="shared" si="17"/>
        <v>0</v>
      </c>
      <c r="Z124" s="2">
        <v>0</v>
      </c>
      <c r="AA124" s="2">
        <v>1</v>
      </c>
      <c r="AB124" s="2">
        <v>1</v>
      </c>
      <c r="AC124" s="2">
        <f>IF(AA124+AB124&gt;0,1,0)</f>
        <v>1</v>
      </c>
      <c r="AD124" s="2">
        <v>0</v>
      </c>
      <c r="AE124" s="2">
        <v>1</v>
      </c>
      <c r="AF124" s="2">
        <v>0</v>
      </c>
      <c r="AG124" s="2">
        <v>0</v>
      </c>
      <c r="AH124" s="2">
        <v>0</v>
      </c>
      <c r="AI124" s="2">
        <v>0</v>
      </c>
      <c r="AJ124" s="2">
        <v>0</v>
      </c>
      <c r="AK124" s="2">
        <v>0</v>
      </c>
      <c r="AL124">
        <f>IF(Z124+AC124+AD124+AE124+AG124+AJ124+AK124=0,1,0)</f>
        <v>0</v>
      </c>
      <c r="AM124" s="2" t="s">
        <v>6</v>
      </c>
      <c r="AN124" t="s">
        <v>269</v>
      </c>
    </row>
    <row r="125" spans="1:40" x14ac:dyDescent="0.35">
      <c r="AL125" s="2"/>
    </row>
    <row r="126" spans="1:40" x14ac:dyDescent="0.35">
      <c r="Z126" s="13"/>
      <c r="AA126" s="13"/>
      <c r="AB126" s="13"/>
      <c r="AC126" s="13"/>
      <c r="AD126" s="13"/>
      <c r="AE126" s="13"/>
      <c r="AF126" s="13"/>
      <c r="AG126" s="13"/>
      <c r="AH126" s="13"/>
      <c r="AI126" s="13"/>
      <c r="AJ126" s="13"/>
      <c r="AK126" s="13"/>
      <c r="AL126" s="13"/>
    </row>
    <row r="127" spans="1:40" x14ac:dyDescent="0.35">
      <c r="K127" s="13"/>
      <c r="Q127" s="2"/>
      <c r="R127" s="13"/>
      <c r="S127" s="13"/>
    </row>
    <row r="128" spans="1:40" x14ac:dyDescent="0.35">
      <c r="Q128" s="2"/>
      <c r="R128" s="13"/>
      <c r="S128" s="13"/>
      <c r="AM128" s="2"/>
    </row>
    <row r="129" spans="11:45" x14ac:dyDescent="0.35">
      <c r="K129" s="13"/>
      <c r="O129" s="1"/>
      <c r="P129" s="1"/>
      <c r="Q129" s="2"/>
      <c r="R129" s="13"/>
      <c r="S129" s="13"/>
      <c r="AM129" s="2"/>
      <c r="AO129" s="13"/>
    </row>
    <row r="130" spans="11:45" x14ac:dyDescent="0.35">
      <c r="O130" s="1"/>
      <c r="P130" s="1"/>
      <c r="Q130" s="2"/>
      <c r="R130" s="13"/>
      <c r="S130" s="13"/>
      <c r="AS130" s="13"/>
    </row>
    <row r="131" spans="11:45" x14ac:dyDescent="0.35">
      <c r="O131" s="1"/>
      <c r="P131" s="1"/>
      <c r="Q131" s="2"/>
      <c r="R131" s="13"/>
      <c r="S131" s="13"/>
      <c r="AM131" s="2"/>
      <c r="AQ131" s="2"/>
      <c r="AS131" s="13"/>
    </row>
    <row r="132" spans="11:45" x14ac:dyDescent="0.35">
      <c r="O132" s="1"/>
      <c r="P132" s="1"/>
      <c r="Q132" s="2"/>
      <c r="R132" s="13"/>
      <c r="S132" s="13"/>
      <c r="AQ132" s="2"/>
      <c r="AS132" s="13"/>
    </row>
    <row r="133" spans="11:45" x14ac:dyDescent="0.35">
      <c r="Q133" s="2"/>
      <c r="R133" s="13"/>
      <c r="S133" s="13"/>
      <c r="AM133" s="2"/>
      <c r="AO133" s="13"/>
      <c r="AQ133" s="2"/>
      <c r="AS133" s="13"/>
    </row>
    <row r="134" spans="11:45" x14ac:dyDescent="0.35">
      <c r="Q134" s="1"/>
      <c r="AM134" s="2"/>
      <c r="AO134" s="13"/>
      <c r="AQ134" s="2"/>
      <c r="AS134" s="13"/>
    </row>
    <row r="135" spans="11:45" x14ac:dyDescent="0.35">
      <c r="Q135" s="1"/>
      <c r="AM135" s="2"/>
      <c r="AO135" s="13"/>
      <c r="AQ135" s="2"/>
      <c r="AS135" s="13"/>
    </row>
    <row r="136" spans="11:45" x14ac:dyDescent="0.35">
      <c r="AO136" s="13"/>
      <c r="AQ136" s="2"/>
    </row>
    <row r="138" spans="11:45" x14ac:dyDescent="0.35">
      <c r="AS138" s="13"/>
    </row>
  </sheetData>
  <pageMargins left="0.7" right="0.7" top="0.75" bottom="0.75" header="0.3" footer="0.3"/>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78"/>
  <sheetViews>
    <sheetView topLeftCell="A24" workbookViewId="0">
      <selection activeCell="K33" sqref="K33"/>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7"/>
      <c r="F6" s="25"/>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264</v>
      </c>
      <c r="C8" s="18">
        <f>COUNTIFS(bleach_treatment!V2:V124,0,bleach_treatment!AG2:AG124,1)</f>
        <v>47</v>
      </c>
      <c r="D8" s="18">
        <f>COUNTIFS(bleach_treatment!V2:V124,"&lt;0",bleach_treatment!AG2:AG124,1)</f>
        <v>18</v>
      </c>
      <c r="E8" s="18">
        <f>COUNTIFS(bleach_treatment!V2:V124,"&gt;0",bleach_treatment!AG2:AG124,1)</f>
        <v>26</v>
      </c>
      <c r="F8" s="18">
        <f>SUM(C8:E8)</f>
        <v>91</v>
      </c>
      <c r="G8" s="18">
        <f>COUNTIFS(bleach_treatment!Y2:Y124,0,bleach_treatment!AG2:AG124,1)</f>
        <v>72</v>
      </c>
      <c r="H8" s="18">
        <f>COUNTIFS(bleach_treatment!Y2:Y124,"&lt;0",bleach_treatment!AG2:AG124,1)</f>
        <v>7</v>
      </c>
      <c r="I8" s="18">
        <f>COUNTIFS(bleach_treatment!Y2:Y124,"&gt;0",bleach_treatment!AG2:AG124,1)</f>
        <v>11</v>
      </c>
      <c r="J8" s="18">
        <f>SUM(G8:I8)</f>
        <v>90</v>
      </c>
      <c r="K8" s="18">
        <f>COUNTIFS(bleach_treatment!P2:P124,"&gt;=0",bleach_treatment!AG2:AG124,1)</f>
        <v>44</v>
      </c>
      <c r="L8" s="18">
        <f>COUNTIFS(bleach_treatment!P2:P124,"&lt;0",bleach_treatment!AG2:AG124,1)</f>
        <v>47</v>
      </c>
      <c r="M8" s="18">
        <f>SUM(K8:L8)</f>
        <v>91</v>
      </c>
      <c r="N8" s="18">
        <f>COUNTIFS(bleach_treatment!M2:M124,0,bleach_treatment!AG2:AG124,1)</f>
        <v>63</v>
      </c>
      <c r="O8" s="18">
        <f>COUNTIFS(bleach_treatment!M2:M124,"&lt;0",bleach_treatment!AG2:AG124,1)</f>
        <v>16</v>
      </c>
      <c r="P8" s="18">
        <f>COUNTIFS(bleach_treatment!M2:M124,"&gt;0",bleach_treatment!AG2:AG124,1)</f>
        <v>12</v>
      </c>
      <c r="Q8" s="18">
        <f>SUM(N8:P8)</f>
        <v>91</v>
      </c>
    </row>
    <row r="9" spans="2:17" x14ac:dyDescent="0.35">
      <c r="B9" s="6" t="s">
        <v>265</v>
      </c>
      <c r="C9" s="18">
        <f>COUNTIFS(bleach_treatment!V2:V124,0,bleach_treatment!AG2:AG124,0)</f>
        <v>19</v>
      </c>
      <c r="D9" s="18">
        <f>COUNTIFS(bleach_treatment!V2:V124,"&lt;0",bleach_treatment!AG2:AG124,0)</f>
        <v>7</v>
      </c>
      <c r="E9" s="18">
        <f>COUNTIFS(bleach_treatment!V2:V124,"&gt;0",bleach_treatment!AG2:AG124,0)</f>
        <v>5</v>
      </c>
      <c r="F9" s="18">
        <f t="shared" ref="F9" si="0">SUM(C9:E9)</f>
        <v>31</v>
      </c>
      <c r="G9" s="18">
        <f>COUNTIFS(bleach_treatment!Y2:Y124,0,bleach_treatment!AG2:AG124,0)</f>
        <v>27</v>
      </c>
      <c r="H9" s="18">
        <f>COUNTIFS(bleach_treatment!Y2:Y124,"&lt;0",bleach_treatment!AG2:AG124,0)</f>
        <v>3</v>
      </c>
      <c r="I9" s="18">
        <f>COUNTIFS(bleach_treatment!Y2:Y124,"&gt;0",bleach_treatment!AG2:AG124,0)</f>
        <v>1</v>
      </c>
      <c r="J9" s="18">
        <f t="shared" ref="J9" si="1">SUM(G9:I9)</f>
        <v>31</v>
      </c>
      <c r="K9" s="18">
        <f>COUNTIFS(bleach_treatment!P2:P124,"&gt;=0",bleach_treatment!AG2:AG124,0)</f>
        <v>21</v>
      </c>
      <c r="L9" s="18">
        <f>COUNTIFS(bleach_treatment!P2:P124,"&lt;0",bleach_treatment!AG2:AG124,0)</f>
        <v>11</v>
      </c>
      <c r="M9" s="18">
        <f>SUM(K9:L9)</f>
        <v>32</v>
      </c>
      <c r="N9" s="18">
        <f>COUNTIFS(bleach_treatment!M2:M124,0,bleach_treatment!AG2:AG124,0)</f>
        <v>26</v>
      </c>
      <c r="O9" s="18">
        <f>COUNTIFS(bleach_treatment!M2:M124,"&lt;0",bleach_treatment!AG2:AG124,0)</f>
        <v>2</v>
      </c>
      <c r="P9" s="18">
        <f>COUNTIFS(bleach_treatment!M2:M124,"&gt;0",bleach_treatment!AG2:AG124,0)</f>
        <v>4</v>
      </c>
      <c r="Q9" s="18">
        <f t="shared" ref="Q9" si="2">SUM(N9:P9)</f>
        <v>32</v>
      </c>
    </row>
    <row r="10" spans="2:17" x14ac:dyDescent="0.35">
      <c r="B10" s="3" t="s">
        <v>180</v>
      </c>
      <c r="C10" s="18">
        <f>SUM(C8:C9)</f>
        <v>66</v>
      </c>
      <c r="D10" s="18">
        <f t="shared" ref="D10:F10" si="3">SUM(D8:D9)</f>
        <v>25</v>
      </c>
      <c r="E10" s="18">
        <f t="shared" si="3"/>
        <v>31</v>
      </c>
      <c r="F10" s="18">
        <f t="shared" si="3"/>
        <v>122</v>
      </c>
      <c r="G10" s="22">
        <f>SUM(G8:G9)</f>
        <v>99</v>
      </c>
      <c r="H10" s="22">
        <f t="shared" ref="H10:J10" si="4">SUM(H8:H9)</f>
        <v>10</v>
      </c>
      <c r="I10" s="22">
        <f t="shared" si="4"/>
        <v>12</v>
      </c>
      <c r="J10" s="22">
        <f t="shared" si="4"/>
        <v>121</v>
      </c>
      <c r="K10" s="22">
        <f>SUM(K8:K9)</f>
        <v>65</v>
      </c>
      <c r="L10" s="22">
        <f t="shared" ref="L10:M10" si="5">SUM(L8:L9)</f>
        <v>58</v>
      </c>
      <c r="M10" s="22">
        <f t="shared" si="5"/>
        <v>123</v>
      </c>
      <c r="N10" s="22">
        <f>SUM(N8:N9)</f>
        <v>89</v>
      </c>
      <c r="O10" s="22">
        <f t="shared" ref="O10:Q10" si="6">SUM(O8:O9)</f>
        <v>18</v>
      </c>
      <c r="P10" s="22">
        <f t="shared" si="6"/>
        <v>16</v>
      </c>
      <c r="Q10" s="22">
        <f t="shared" si="6"/>
        <v>123</v>
      </c>
    </row>
    <row r="12" spans="2:17" x14ac:dyDescent="0.35">
      <c r="B12" s="3" t="s">
        <v>188</v>
      </c>
    </row>
    <row r="13" spans="2:17" x14ac:dyDescent="0.35">
      <c r="C13" s="48" t="s">
        <v>71</v>
      </c>
      <c r="D13" s="48"/>
      <c r="E13" s="37"/>
      <c r="F13" s="25"/>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264</v>
      </c>
      <c r="C15" s="23">
        <f t="shared" ref="C15" si="7">C8/$F8</f>
        <v>0.51648351648351654</v>
      </c>
      <c r="D15" s="23">
        <f t="shared" ref="D15:F15" si="8">D8/$F8</f>
        <v>0.19780219780219779</v>
      </c>
      <c r="E15" s="23">
        <f t="shared" si="8"/>
        <v>0.2857142857142857</v>
      </c>
      <c r="F15" s="23">
        <f t="shared" si="8"/>
        <v>1</v>
      </c>
      <c r="G15" s="23">
        <f t="shared" ref="G15" si="9">G8/$J8</f>
        <v>0.8</v>
      </c>
      <c r="H15" s="23">
        <f t="shared" ref="H15:J15" si="10">H8/$J8</f>
        <v>7.7777777777777779E-2</v>
      </c>
      <c r="I15" s="23">
        <f t="shared" si="10"/>
        <v>0.12222222222222222</v>
      </c>
      <c r="J15" s="23">
        <f t="shared" si="10"/>
        <v>1</v>
      </c>
      <c r="K15" s="23">
        <f t="shared" ref="K15:M17" si="11">K8/$M8</f>
        <v>0.48351648351648352</v>
      </c>
      <c r="L15" s="23">
        <f t="shared" si="11"/>
        <v>0.51648351648351654</v>
      </c>
      <c r="M15" s="23">
        <f t="shared" si="11"/>
        <v>1</v>
      </c>
      <c r="N15" s="23">
        <f t="shared" ref="N15" si="12">N8/$Q8</f>
        <v>0.69230769230769229</v>
      </c>
      <c r="O15" s="23">
        <f t="shared" ref="O15:Q15" si="13">O8/$Q8</f>
        <v>0.17582417582417584</v>
      </c>
      <c r="P15" s="23">
        <f t="shared" si="13"/>
        <v>0.13186813186813187</v>
      </c>
      <c r="Q15" s="23">
        <f t="shared" si="13"/>
        <v>1</v>
      </c>
    </row>
    <row r="16" spans="2:17" x14ac:dyDescent="0.35">
      <c r="B16" s="6" t="s">
        <v>265</v>
      </c>
      <c r="C16" s="23">
        <f t="shared" ref="C16:F16" si="14">C9/$F9</f>
        <v>0.61290322580645162</v>
      </c>
      <c r="D16" s="23">
        <f t="shared" si="14"/>
        <v>0.22580645161290322</v>
      </c>
      <c r="E16" s="23">
        <f t="shared" si="14"/>
        <v>0.16129032258064516</v>
      </c>
      <c r="F16" s="23">
        <f t="shared" si="14"/>
        <v>1</v>
      </c>
      <c r="G16" s="23">
        <f t="shared" ref="G16:J16" si="15">G9/$J9</f>
        <v>0.87096774193548387</v>
      </c>
      <c r="H16" s="23">
        <f t="shared" si="15"/>
        <v>9.6774193548387094E-2</v>
      </c>
      <c r="I16" s="23">
        <f t="shared" si="15"/>
        <v>3.2258064516129031E-2</v>
      </c>
      <c r="J16" s="23">
        <f t="shared" si="15"/>
        <v>1</v>
      </c>
      <c r="K16" s="23">
        <f t="shared" si="11"/>
        <v>0.65625</v>
      </c>
      <c r="L16" s="23">
        <f t="shared" si="11"/>
        <v>0.34375</v>
      </c>
      <c r="M16" s="23">
        <f t="shared" si="11"/>
        <v>1</v>
      </c>
      <c r="N16" s="23">
        <f t="shared" ref="N16:Q16" si="16">N9/$Q9</f>
        <v>0.8125</v>
      </c>
      <c r="O16" s="23">
        <f t="shared" si="16"/>
        <v>6.25E-2</v>
      </c>
      <c r="P16" s="23">
        <f t="shared" si="16"/>
        <v>0.125</v>
      </c>
      <c r="Q16" s="23">
        <f t="shared" si="16"/>
        <v>1</v>
      </c>
    </row>
    <row r="17" spans="2:17" x14ac:dyDescent="0.35">
      <c r="B17" s="3" t="s">
        <v>180</v>
      </c>
      <c r="C17" s="23">
        <f t="shared" ref="C17:F17" si="17">C10/$F10</f>
        <v>0.54098360655737709</v>
      </c>
      <c r="D17" s="23">
        <f t="shared" si="17"/>
        <v>0.20491803278688525</v>
      </c>
      <c r="E17" s="23">
        <f t="shared" si="17"/>
        <v>0.25409836065573771</v>
      </c>
      <c r="F17" s="23">
        <f t="shared" si="17"/>
        <v>1</v>
      </c>
      <c r="G17" s="23">
        <f t="shared" ref="G17:J17" si="18">G10/$J10</f>
        <v>0.81818181818181823</v>
      </c>
      <c r="H17" s="23">
        <f t="shared" si="18"/>
        <v>8.2644628099173556E-2</v>
      </c>
      <c r="I17" s="23">
        <f t="shared" si="18"/>
        <v>9.9173553719008267E-2</v>
      </c>
      <c r="J17" s="23">
        <f t="shared" si="18"/>
        <v>1</v>
      </c>
      <c r="K17" s="23">
        <f t="shared" si="11"/>
        <v>0.52845528455284552</v>
      </c>
      <c r="L17" s="23">
        <f t="shared" si="11"/>
        <v>0.47154471544715448</v>
      </c>
      <c r="M17" s="23">
        <f t="shared" si="11"/>
        <v>1</v>
      </c>
      <c r="N17" s="23">
        <f t="shared" ref="N17:Q17" si="19">N10/$Q10</f>
        <v>0.72357723577235777</v>
      </c>
      <c r="O17" s="23">
        <f t="shared" si="19"/>
        <v>0.14634146341463414</v>
      </c>
      <c r="P17" s="23">
        <f t="shared" si="19"/>
        <v>0.13008130081300814</v>
      </c>
      <c r="Q17" s="23">
        <f t="shared" si="19"/>
        <v>1</v>
      </c>
    </row>
    <row r="19" spans="2:17" x14ac:dyDescent="0.35">
      <c r="B19" s="3" t="s">
        <v>181</v>
      </c>
    </row>
    <row r="20" spans="2:17" x14ac:dyDescent="0.35">
      <c r="C20" s="48" t="s">
        <v>71</v>
      </c>
      <c r="D20" s="48"/>
      <c r="E20" s="37"/>
      <c r="F20" s="25"/>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264</v>
      </c>
      <c r="C22" s="19">
        <f t="shared" ref="C22" si="20">($F8*C$10)/$F$10</f>
        <v>49.229508196721312</v>
      </c>
      <c r="D22" s="19">
        <f t="shared" ref="D22:F22" si="21">($F8*D$10)/$F$10</f>
        <v>18.647540983606557</v>
      </c>
      <c r="E22" s="19">
        <f t="shared" si="21"/>
        <v>23.122950819672131</v>
      </c>
      <c r="F22" s="19">
        <f t="shared" si="21"/>
        <v>91</v>
      </c>
      <c r="G22" s="19">
        <f t="shared" ref="G22" si="22">($J8*G$10)/$J$10</f>
        <v>73.63636363636364</v>
      </c>
      <c r="H22" s="19">
        <f t="shared" ref="H22:J22" si="23">($J8*H$10)/$J$10</f>
        <v>7.4380165289256199</v>
      </c>
      <c r="I22" s="19">
        <f t="shared" si="23"/>
        <v>8.9256198347107443</v>
      </c>
      <c r="J22" s="19">
        <f t="shared" si="23"/>
        <v>90</v>
      </c>
      <c r="K22" s="19">
        <f t="shared" ref="K22:M24" si="24">($M8*K$10)/$M$10</f>
        <v>48.08943089430894</v>
      </c>
      <c r="L22" s="19">
        <f t="shared" si="24"/>
        <v>42.91056910569106</v>
      </c>
      <c r="M22" s="19">
        <f t="shared" si="24"/>
        <v>91</v>
      </c>
      <c r="N22" s="19">
        <f t="shared" ref="N22" si="25">($Q8*N$10)/$Q$10</f>
        <v>65.845528455284551</v>
      </c>
      <c r="O22" s="19">
        <f t="shared" ref="O22:Q22" si="26">($Q8*O$10)/$Q$10</f>
        <v>13.317073170731707</v>
      </c>
      <c r="P22" s="19">
        <f t="shared" si="26"/>
        <v>11.83739837398374</v>
      </c>
      <c r="Q22" s="19">
        <f t="shared" si="26"/>
        <v>91</v>
      </c>
    </row>
    <row r="23" spans="2:17" x14ac:dyDescent="0.35">
      <c r="B23" s="6" t="s">
        <v>265</v>
      </c>
      <c r="C23" s="19">
        <f t="shared" ref="C23:F23" si="27">($F9*C$10)/$F$10</f>
        <v>16.770491803278688</v>
      </c>
      <c r="D23" s="19">
        <f t="shared" si="27"/>
        <v>6.3524590163934427</v>
      </c>
      <c r="E23" s="19">
        <f t="shared" si="27"/>
        <v>7.8770491803278686</v>
      </c>
      <c r="F23" s="19">
        <f t="shared" si="27"/>
        <v>31</v>
      </c>
      <c r="G23" s="19">
        <f t="shared" ref="G23:J23" si="28">($J9*G$10)/$J$10</f>
        <v>25.363636363636363</v>
      </c>
      <c r="H23" s="19">
        <f t="shared" si="28"/>
        <v>2.5619834710743801</v>
      </c>
      <c r="I23" s="19">
        <f t="shared" si="28"/>
        <v>3.0743801652892562</v>
      </c>
      <c r="J23" s="19">
        <f t="shared" si="28"/>
        <v>31</v>
      </c>
      <c r="K23" s="19">
        <f t="shared" si="24"/>
        <v>16.910569105691057</v>
      </c>
      <c r="L23" s="19">
        <f t="shared" si="24"/>
        <v>15.089430894308943</v>
      </c>
      <c r="M23" s="19">
        <f t="shared" si="24"/>
        <v>32</v>
      </c>
      <c r="N23" s="19">
        <f t="shared" ref="N23:Q23" si="29">($Q9*N$10)/$Q$10</f>
        <v>23.154471544715449</v>
      </c>
      <c r="O23" s="19">
        <f t="shared" si="29"/>
        <v>4.6829268292682924</v>
      </c>
      <c r="P23" s="19">
        <f t="shared" si="29"/>
        <v>4.1626016260162606</v>
      </c>
      <c r="Q23" s="19">
        <f t="shared" si="29"/>
        <v>32</v>
      </c>
    </row>
    <row r="24" spans="2:17" x14ac:dyDescent="0.35">
      <c r="B24" s="3" t="s">
        <v>180</v>
      </c>
      <c r="C24" s="19">
        <f t="shared" ref="C24:F24" si="30">($F10*C$10)/$F$10</f>
        <v>66</v>
      </c>
      <c r="D24" s="19">
        <f t="shared" si="30"/>
        <v>25</v>
      </c>
      <c r="E24" s="19">
        <f t="shared" si="30"/>
        <v>31</v>
      </c>
      <c r="F24" s="19">
        <f t="shared" si="30"/>
        <v>122</v>
      </c>
      <c r="G24" s="19">
        <f t="shared" ref="G24:J24" si="31">($J10*G$10)/$J$10</f>
        <v>99</v>
      </c>
      <c r="H24" s="19">
        <f t="shared" si="31"/>
        <v>10</v>
      </c>
      <c r="I24" s="19">
        <f t="shared" si="31"/>
        <v>12</v>
      </c>
      <c r="J24" s="19">
        <f t="shared" si="31"/>
        <v>121</v>
      </c>
      <c r="K24" s="19">
        <f t="shared" si="24"/>
        <v>65</v>
      </c>
      <c r="L24" s="19">
        <f t="shared" si="24"/>
        <v>58</v>
      </c>
      <c r="M24" s="19">
        <f t="shared" si="24"/>
        <v>123</v>
      </c>
      <c r="N24" s="19">
        <f t="shared" ref="N24:Q24" si="32">($Q10*N$10)/$Q$10</f>
        <v>89</v>
      </c>
      <c r="O24" s="19">
        <f t="shared" si="32"/>
        <v>18</v>
      </c>
      <c r="P24" s="19">
        <f t="shared" si="32"/>
        <v>16</v>
      </c>
      <c r="Q24" s="19">
        <f t="shared" si="32"/>
        <v>123</v>
      </c>
    </row>
    <row r="26" spans="2:17" x14ac:dyDescent="0.35">
      <c r="B26" s="3" t="s">
        <v>182</v>
      </c>
    </row>
    <row r="27" spans="2:17" x14ac:dyDescent="0.35">
      <c r="C27" s="48" t="s">
        <v>71</v>
      </c>
      <c r="D27" s="48"/>
      <c r="E27" s="37"/>
      <c r="F27" s="25"/>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264</v>
      </c>
      <c r="C29" s="29">
        <f t="shared" ref="C29:C30" si="33">(C8-C22)^2/C22</f>
        <v>0.10097006818318299</v>
      </c>
      <c r="D29" s="29">
        <f t="shared" ref="D29:E29" si="34">(D8-D22)^2/D22</f>
        <v>2.2486038551612318E-2</v>
      </c>
      <c r="E29" s="29">
        <f t="shared" si="34"/>
        <v>0.3579738611467857</v>
      </c>
      <c r="F29" s="29"/>
      <c r="G29" s="29">
        <f>(G8-G22)^2/G22</f>
        <v>3.6363636363636535E-2</v>
      </c>
      <c r="H29" s="29">
        <f t="shared" ref="H29:I29" si="35">(H8-H22)^2/H22</f>
        <v>2.5794306703397624E-2</v>
      </c>
      <c r="I29" s="29">
        <f t="shared" si="35"/>
        <v>0.48210131619222502</v>
      </c>
      <c r="J29" s="29"/>
      <c r="K29" s="29">
        <f>(K8-K22)^2/K22</f>
        <v>0.34775718340446249</v>
      </c>
      <c r="L29" s="29">
        <f t="shared" ref="L29" si="36">(L8-L22)^2/L22</f>
        <v>0.38972787795327685</v>
      </c>
      <c r="M29" s="29"/>
      <c r="N29" s="29">
        <f>(N8-N22)^2/N22</f>
        <v>0.12297011474868409</v>
      </c>
      <c r="O29" s="29">
        <f t="shared" ref="O29:P29" si="37">(O8-O22)^2/O22</f>
        <v>0.54051639417493103</v>
      </c>
      <c r="P29" s="29">
        <f t="shared" si="37"/>
        <v>2.2335388189046604E-3</v>
      </c>
      <c r="Q29" s="21"/>
    </row>
    <row r="30" spans="2:17" x14ac:dyDescent="0.35">
      <c r="B30" s="6" t="s">
        <v>265</v>
      </c>
      <c r="C30" s="29">
        <f t="shared" si="33"/>
        <v>0.29639600660224685</v>
      </c>
      <c r="D30" s="29">
        <f t="shared" ref="D30:E30" si="38">(D9-D23)^2/D23</f>
        <v>6.6007403490216804E-2</v>
      </c>
      <c r="E30" s="29">
        <f t="shared" si="38"/>
        <v>1.0508264956244349</v>
      </c>
      <c r="F30" s="29"/>
      <c r="G30" s="29">
        <f>(G9-G23)^2/G23</f>
        <v>0.10557184750733141</v>
      </c>
      <c r="H30" s="29">
        <f t="shared" ref="H30:I30" si="39">(H9-H23)^2/H23</f>
        <v>7.4886696880831813E-2</v>
      </c>
      <c r="I30" s="29">
        <f t="shared" si="39"/>
        <v>1.3996489824935572</v>
      </c>
      <c r="J30" s="29"/>
      <c r="K30" s="29">
        <f>(K9-K23)^2/K23</f>
        <v>0.98893449030644176</v>
      </c>
      <c r="L30" s="29">
        <f t="shared" ref="L30" si="40">(L9-L23)^2/L23</f>
        <v>1.108288652929633</v>
      </c>
      <c r="M30" s="29"/>
      <c r="N30" s="29">
        <f>(N9-N23)^2/N23</f>
        <v>0.34969626381657037</v>
      </c>
      <c r="O30" s="29">
        <f t="shared" ref="O30:P30" si="41">(O9-O23)^2/O23</f>
        <v>1.5370934959349591</v>
      </c>
      <c r="P30" s="29">
        <f t="shared" si="41"/>
        <v>6.3516260162601963E-3</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2:14" x14ac:dyDescent="0.35">
      <c r="B33" s="3" t="s">
        <v>183</v>
      </c>
      <c r="D33" s="13">
        <f>C29+C30+D29+D30+E29+E30</f>
        <v>1.8946598735984794</v>
      </c>
      <c r="E33" s="13"/>
      <c r="F33" s="13"/>
      <c r="G33" s="13">
        <f>G29+H29+G30+H30+I29+I30</f>
        <v>2.1243667861409796</v>
      </c>
      <c r="H33" s="13"/>
      <c r="I33" s="13"/>
      <c r="J33" s="13"/>
      <c r="K33" s="13">
        <f>K29+L29+K30+L30</f>
        <v>2.8347082045938139</v>
      </c>
      <c r="L33" s="13"/>
      <c r="M33" s="13"/>
      <c r="N33" s="13">
        <f>N29+O29+N30+O30+P29+P30</f>
        <v>2.5588614335103093</v>
      </c>
    </row>
    <row r="34" spans="2:14" x14ac:dyDescent="0.35">
      <c r="B34" s="3" t="s">
        <v>184</v>
      </c>
      <c r="D34" s="24">
        <f>_xlfn.CHISQ.DIST.RT(D33,D32)</f>
        <v>0.38777502624154281</v>
      </c>
      <c r="E34" s="32"/>
      <c r="G34" s="24">
        <f>_xlfn.CHISQ.DIST.RT(G33,G32)</f>
        <v>0.34570018632684263</v>
      </c>
      <c r="K34" s="24">
        <f>_xlfn.CHISQ.DIST.RT(K33,K32)</f>
        <v>9.2247556193028463E-2</v>
      </c>
      <c r="N34" s="24">
        <f>_xlfn.CHISQ.DIST.RT(N33,N32)</f>
        <v>0.27819562749197341</v>
      </c>
    </row>
    <row r="36" spans="2:14" x14ac:dyDescent="0.35">
      <c r="J36" s="9"/>
      <c r="K36" s="3"/>
    </row>
    <row r="37" spans="2:14" x14ac:dyDescent="0.35">
      <c r="L37" s="6"/>
      <c r="M37" s="6"/>
      <c r="N37" s="6"/>
    </row>
    <row r="38" spans="2:14" x14ac:dyDescent="0.35">
      <c r="K38" s="6"/>
    </row>
    <row r="39" spans="2:14" x14ac:dyDescent="0.35">
      <c r="K39" s="6"/>
    </row>
    <row r="42" spans="2:14" x14ac:dyDescent="0.35">
      <c r="K42" s="3"/>
    </row>
    <row r="43" spans="2:14" x14ac:dyDescent="0.35">
      <c r="L43" s="6"/>
      <c r="M43" s="6"/>
      <c r="N43" s="6"/>
    </row>
    <row r="44" spans="2:14" x14ac:dyDescent="0.35">
      <c r="K44" s="6"/>
      <c r="L44" s="19"/>
      <c r="M44" s="19"/>
      <c r="N44" s="19"/>
    </row>
    <row r="45" spans="2:14" x14ac:dyDescent="0.35">
      <c r="K45" s="6"/>
      <c r="L45" s="19"/>
      <c r="M45" s="19"/>
      <c r="N45" s="19"/>
    </row>
    <row r="46" spans="2:14" x14ac:dyDescent="0.35">
      <c r="L46" s="19"/>
      <c r="M46" s="19"/>
      <c r="N46" s="19"/>
    </row>
    <row r="48" spans="2:14" x14ac:dyDescent="0.35">
      <c r="K48" s="3"/>
    </row>
    <row r="49" spans="10:14" x14ac:dyDescent="0.35">
      <c r="L49" s="48"/>
      <c r="M49" s="48"/>
      <c r="N49" s="43"/>
    </row>
    <row r="50" spans="10:14" x14ac:dyDescent="0.35">
      <c r="L50" s="17"/>
      <c r="M50" s="17"/>
      <c r="N50" s="17"/>
    </row>
    <row r="51" spans="10:14" x14ac:dyDescent="0.35">
      <c r="K51" s="6"/>
      <c r="L51" s="29"/>
      <c r="M51" s="29"/>
      <c r="N51" s="29"/>
    </row>
    <row r="52" spans="10:14" x14ac:dyDescent="0.35">
      <c r="K52" s="6"/>
      <c r="L52" s="29"/>
      <c r="M52" s="29"/>
      <c r="N52" s="29"/>
    </row>
    <row r="54" spans="10:14" x14ac:dyDescent="0.35">
      <c r="K54" s="3"/>
      <c r="L54" s="21"/>
      <c r="M54" s="19"/>
    </row>
    <row r="55" spans="10:14" x14ac:dyDescent="0.35">
      <c r="K55" s="3"/>
      <c r="M55" s="13"/>
    </row>
    <row r="56" spans="10:14" x14ac:dyDescent="0.35">
      <c r="K56" s="3"/>
      <c r="M56" s="31"/>
    </row>
    <row r="58" spans="10:14" x14ac:dyDescent="0.35">
      <c r="J58" s="36"/>
      <c r="K58" s="3"/>
    </row>
    <row r="59" spans="10:14" x14ac:dyDescent="0.35">
      <c r="L59" s="6"/>
      <c r="M59" s="6"/>
      <c r="N59" s="6"/>
    </row>
    <row r="60" spans="10:14" x14ac:dyDescent="0.35">
      <c r="K60" s="6"/>
    </row>
    <row r="61" spans="10:14" x14ac:dyDescent="0.35">
      <c r="K61" s="6"/>
    </row>
    <row r="64" spans="10:14" x14ac:dyDescent="0.35">
      <c r="K64" s="3"/>
    </row>
    <row r="65" spans="11:14" x14ac:dyDescent="0.35">
      <c r="L65" s="6"/>
      <c r="M65" s="6"/>
      <c r="N65" s="6"/>
    </row>
    <row r="66" spans="11:14" x14ac:dyDescent="0.35">
      <c r="K66" s="6"/>
      <c r="L66" s="2"/>
      <c r="M66" s="2"/>
      <c r="N66" s="2"/>
    </row>
    <row r="67" spans="11:14" x14ac:dyDescent="0.35">
      <c r="K67" s="6"/>
      <c r="L67" s="2"/>
      <c r="M67" s="2"/>
      <c r="N67" s="2"/>
    </row>
    <row r="68" spans="11:14" x14ac:dyDescent="0.35">
      <c r="L68" s="2"/>
      <c r="M68" s="2"/>
      <c r="N68" s="2"/>
    </row>
    <row r="70" spans="11:14" x14ac:dyDescent="0.35">
      <c r="K70" s="3"/>
    </row>
    <row r="71" spans="11:14" x14ac:dyDescent="0.35">
      <c r="L71" s="48"/>
      <c r="M71" s="48"/>
      <c r="N71" s="43"/>
    </row>
    <row r="72" spans="11:14" x14ac:dyDescent="0.35">
      <c r="L72" s="17"/>
      <c r="M72" s="6"/>
      <c r="N72" s="17"/>
    </row>
    <row r="73" spans="11:14" x14ac:dyDescent="0.35">
      <c r="K73" s="6"/>
      <c r="L73" s="29"/>
      <c r="M73" s="29"/>
      <c r="N73" s="29"/>
    </row>
    <row r="74" spans="11:14" x14ac:dyDescent="0.35">
      <c r="K74" s="6"/>
      <c r="L74" s="29"/>
      <c r="M74" s="29"/>
      <c r="N74" s="29"/>
    </row>
    <row r="76" spans="11:14" x14ac:dyDescent="0.35">
      <c r="K76" s="3"/>
      <c r="L76" s="21"/>
      <c r="M76" s="19"/>
    </row>
    <row r="77" spans="11:14" x14ac:dyDescent="0.35">
      <c r="K77" s="3"/>
      <c r="M77" s="13"/>
    </row>
    <row r="78" spans="11:14" x14ac:dyDescent="0.35">
      <c r="K78" s="3"/>
      <c r="M78" s="24"/>
    </row>
  </sheetData>
  <mergeCells count="18">
    <mergeCell ref="C6:D6"/>
    <mergeCell ref="G6:J6"/>
    <mergeCell ref="K6:M6"/>
    <mergeCell ref="N6:Q6"/>
    <mergeCell ref="C13:D13"/>
    <mergeCell ref="G13:J13"/>
    <mergeCell ref="K13:M13"/>
    <mergeCell ref="N13:Q13"/>
    <mergeCell ref="N20:Q20"/>
    <mergeCell ref="C27:D27"/>
    <mergeCell ref="G27:J27"/>
    <mergeCell ref="K27:M27"/>
    <mergeCell ref="N27:Q27"/>
    <mergeCell ref="L49:M49"/>
    <mergeCell ref="L71:M71"/>
    <mergeCell ref="C20:D20"/>
    <mergeCell ref="G20:J20"/>
    <mergeCell ref="K20:M20"/>
  </mergeCells>
  <pageMargins left="0.7" right="0.7" top="0.75" bottom="0.75" header="0.3" footer="0.3"/>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78"/>
  <sheetViews>
    <sheetView topLeftCell="A25" workbookViewId="0">
      <selection activeCell="G39" sqref="G39"/>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4"/>
      <c r="F6" s="25"/>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256</v>
      </c>
      <c r="C8" s="18">
        <f>COUNTIFS(bleach_treatment!V2:V124,0,bleach_treatment!AE2:AE124,1)</f>
        <v>38</v>
      </c>
      <c r="D8" s="18">
        <f>COUNTIFS(bleach_treatment!V2:V124,"&lt;0",bleach_treatment!AE2:AE124,1)</f>
        <v>19</v>
      </c>
      <c r="E8" s="18">
        <f>COUNTIFS(bleach_treatment!V2:V124,"&gt;0",bleach_treatment!AE2:AE124,1)</f>
        <v>24</v>
      </c>
      <c r="F8" s="18">
        <f>SUM(C8:E8)</f>
        <v>81</v>
      </c>
      <c r="G8" s="18">
        <f>COUNTIFS(bleach_treatment!Y2:Y124,0,bleach_treatment!AE2:AE124,1)</f>
        <v>63</v>
      </c>
      <c r="H8" s="18">
        <f>COUNTIFS(bleach_treatment!Y2:Y124,"&lt;0",bleach_treatment!AE2:AE124,1)</f>
        <v>7</v>
      </c>
      <c r="I8" s="18">
        <f>COUNTIFS(bleach_treatment!Y2:Y124,"&gt;0",bleach_treatment!AE2:AE124,1)</f>
        <v>9</v>
      </c>
      <c r="J8" s="18">
        <f>SUM(G8:I8)</f>
        <v>79</v>
      </c>
      <c r="K8" s="18">
        <f>COUNTIFS(bleach_treatment!P2:P124,"&gt;=0",bleach_treatment!AE2:AE124,1)</f>
        <v>40</v>
      </c>
      <c r="L8" s="18">
        <f>COUNTIFS(bleach_treatment!P2:P124,"&lt;0",bleach_treatment!AE2:AE124,1)</f>
        <v>41</v>
      </c>
      <c r="M8" s="18">
        <f>SUM(K8:L8)</f>
        <v>81</v>
      </c>
      <c r="N8" s="18">
        <f>COUNTIFS(bleach_treatment!M2:M124,0,bleach_treatment!AE2:AE124,1)</f>
        <v>58</v>
      </c>
      <c r="O8" s="18">
        <f>COUNTIFS(bleach_treatment!M2:M124,"&lt;0",bleach_treatment!AE2:AE124,1)</f>
        <v>11</v>
      </c>
      <c r="P8" s="18">
        <f>COUNTIFS(bleach_treatment!M2:M124,"&gt;0",bleach_treatment!AE2:AE124,1)</f>
        <v>12</v>
      </c>
      <c r="Q8" s="18">
        <f>SUM(N8:P8)</f>
        <v>81</v>
      </c>
    </row>
    <row r="9" spans="2:17" x14ac:dyDescent="0.35">
      <c r="B9" s="6" t="s">
        <v>257</v>
      </c>
      <c r="C9" s="18">
        <f>COUNTIFS(bleach_treatment!V2:V124,0,bleach_treatment!AE2:AE124,0)</f>
        <v>28</v>
      </c>
      <c r="D9" s="18">
        <f>COUNTIFS(bleach_treatment!V2:V124,"&lt;0",bleach_treatment!AE2:AE124,0)</f>
        <v>6</v>
      </c>
      <c r="E9" s="18">
        <f>COUNTIFS(bleach_treatment!V2:V124,"&gt;0",bleach_treatment!AE2:AE124,0)</f>
        <v>7</v>
      </c>
      <c r="F9" s="18">
        <f t="shared" ref="F9" si="0">SUM(C9:E9)</f>
        <v>41</v>
      </c>
      <c r="G9" s="18">
        <f>COUNTIFS(bleach_treatment!Y2:Y124,0,bleach_treatment!AE2:AE124,0)</f>
        <v>36</v>
      </c>
      <c r="H9" s="18">
        <f>COUNTIFS(bleach_treatment!Y2:Y124,"&lt;0",bleach_treatment!AE2:AE124,0)</f>
        <v>3</v>
      </c>
      <c r="I9" s="18">
        <f>COUNTIFS(bleach_treatment!Y2:Y124,"&gt;0",bleach_treatment!AE2:AE124,0)</f>
        <v>3</v>
      </c>
      <c r="J9" s="18">
        <f t="shared" ref="J9" si="1">SUM(G9:I9)</f>
        <v>42</v>
      </c>
      <c r="K9" s="18">
        <f>COUNTIFS(bleach_treatment!P2:P124,"&gt;=0",bleach_treatment!AE2:AE124,0)</f>
        <v>25</v>
      </c>
      <c r="L9" s="18">
        <f>COUNTIFS(bleach_treatment!P2:P124,"&lt;0",bleach_treatment!AE2:AE124,0)</f>
        <v>17</v>
      </c>
      <c r="M9" s="18">
        <f>SUM(K9:L9)</f>
        <v>42</v>
      </c>
      <c r="N9" s="18">
        <f>COUNTIFS(bleach_treatment!M2:M124,0,bleach_treatment!AE2:AE124,0)</f>
        <v>31</v>
      </c>
      <c r="O9" s="18">
        <f>COUNTIFS(bleach_treatment!M2:M124,"&lt;0",bleach_treatment!AE2:AE124,0)</f>
        <v>7</v>
      </c>
      <c r="P9" s="18">
        <f>COUNTIFS(bleach_treatment!M2:M124,"&gt;0",bleach_treatment!AE2:AE124,0)</f>
        <v>4</v>
      </c>
      <c r="Q9" s="18">
        <f t="shared" ref="Q9" si="2">SUM(N9:P9)</f>
        <v>42</v>
      </c>
    </row>
    <row r="10" spans="2:17" x14ac:dyDescent="0.35">
      <c r="B10" s="3" t="s">
        <v>180</v>
      </c>
      <c r="C10" s="18">
        <f>SUM(C8:C9)</f>
        <v>66</v>
      </c>
      <c r="D10" s="18">
        <f t="shared" ref="D10:F10" si="3">SUM(D8:D9)</f>
        <v>25</v>
      </c>
      <c r="E10" s="18">
        <f t="shared" si="3"/>
        <v>31</v>
      </c>
      <c r="F10" s="18">
        <f t="shared" si="3"/>
        <v>122</v>
      </c>
      <c r="G10" s="18">
        <f t="shared" ref="G10" si="4">SUM(G8:G9)</f>
        <v>99</v>
      </c>
      <c r="H10" s="18">
        <f t="shared" ref="H10" si="5">SUM(H8:H9)</f>
        <v>10</v>
      </c>
      <c r="I10" s="18">
        <f t="shared" ref="I10" si="6">SUM(I8:I9)</f>
        <v>12</v>
      </c>
      <c r="J10" s="18">
        <f t="shared" ref="J10" si="7">SUM(J8:J9)</f>
        <v>121</v>
      </c>
      <c r="K10" s="18">
        <f>SUM(K8:K9)</f>
        <v>65</v>
      </c>
      <c r="L10" s="18">
        <f t="shared" ref="L10" si="8">SUM(L8:L9)</f>
        <v>58</v>
      </c>
      <c r="M10" s="18">
        <f>SUM(K10:L10)</f>
        <v>123</v>
      </c>
      <c r="N10" s="22">
        <f>SUM(N8:N9)</f>
        <v>89</v>
      </c>
      <c r="O10" s="22">
        <f t="shared" ref="O10:Q10" si="9">SUM(O8:O9)</f>
        <v>18</v>
      </c>
      <c r="P10" s="22">
        <f t="shared" si="9"/>
        <v>16</v>
      </c>
      <c r="Q10" s="22">
        <f t="shared" si="9"/>
        <v>123</v>
      </c>
    </row>
    <row r="12" spans="2:17" x14ac:dyDescent="0.35">
      <c r="B12" s="3" t="s">
        <v>188</v>
      </c>
    </row>
    <row r="13" spans="2:17" x14ac:dyDescent="0.35">
      <c r="C13" s="48" t="s">
        <v>71</v>
      </c>
      <c r="D13" s="48"/>
      <c r="E13" s="34"/>
      <c r="F13" s="25"/>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256</v>
      </c>
      <c r="C15" s="23">
        <f t="shared" ref="C15" si="10">C8/$F8</f>
        <v>0.46913580246913578</v>
      </c>
      <c r="D15" s="23">
        <f t="shared" ref="D15:F15" si="11">D8/$F8</f>
        <v>0.23456790123456789</v>
      </c>
      <c r="E15" s="23">
        <f t="shared" si="11"/>
        <v>0.29629629629629628</v>
      </c>
      <c r="F15" s="23">
        <f t="shared" si="11"/>
        <v>1</v>
      </c>
      <c r="G15" s="23">
        <f t="shared" ref="G15" si="12">G8/$J8</f>
        <v>0.79746835443037978</v>
      </c>
      <c r="H15" s="23">
        <f t="shared" ref="H15:J15" si="13">H8/$J8</f>
        <v>8.8607594936708861E-2</v>
      </c>
      <c r="I15" s="23">
        <f t="shared" si="13"/>
        <v>0.11392405063291139</v>
      </c>
      <c r="J15" s="23">
        <f t="shared" si="13"/>
        <v>1</v>
      </c>
      <c r="K15" s="23">
        <f t="shared" ref="K15:M17" si="14">K8/$M8</f>
        <v>0.49382716049382713</v>
      </c>
      <c r="L15" s="23">
        <f t="shared" si="14"/>
        <v>0.50617283950617287</v>
      </c>
      <c r="M15" s="23">
        <f t="shared" si="14"/>
        <v>1</v>
      </c>
      <c r="N15" s="23">
        <f t="shared" ref="N15" si="15">N8/$Q8</f>
        <v>0.71604938271604934</v>
      </c>
      <c r="O15" s="23">
        <f t="shared" ref="O15:Q15" si="16">O8/$Q8</f>
        <v>0.13580246913580246</v>
      </c>
      <c r="P15" s="23">
        <f t="shared" si="16"/>
        <v>0.14814814814814814</v>
      </c>
      <c r="Q15" s="23">
        <f t="shared" si="16"/>
        <v>1</v>
      </c>
    </row>
    <row r="16" spans="2:17" x14ac:dyDescent="0.35">
      <c r="B16" s="6" t="s">
        <v>257</v>
      </c>
      <c r="C16" s="23">
        <f t="shared" ref="C16:F16" si="17">C9/$F9</f>
        <v>0.68292682926829273</v>
      </c>
      <c r="D16" s="23">
        <f t="shared" si="17"/>
        <v>0.14634146341463414</v>
      </c>
      <c r="E16" s="23">
        <f t="shared" si="17"/>
        <v>0.17073170731707318</v>
      </c>
      <c r="F16" s="23">
        <f t="shared" si="17"/>
        <v>1</v>
      </c>
      <c r="G16" s="23">
        <f t="shared" ref="G16:J16" si="18">G9/$J9</f>
        <v>0.8571428571428571</v>
      </c>
      <c r="H16" s="23">
        <f t="shared" si="18"/>
        <v>7.1428571428571425E-2</v>
      </c>
      <c r="I16" s="23">
        <f t="shared" si="18"/>
        <v>7.1428571428571425E-2</v>
      </c>
      <c r="J16" s="23">
        <f t="shared" si="18"/>
        <v>1</v>
      </c>
      <c r="K16" s="23">
        <f t="shared" si="14"/>
        <v>0.59523809523809523</v>
      </c>
      <c r="L16" s="23">
        <f t="shared" si="14"/>
        <v>0.40476190476190477</v>
      </c>
      <c r="M16" s="23">
        <f t="shared" si="14"/>
        <v>1</v>
      </c>
      <c r="N16" s="23">
        <f t="shared" ref="N16:Q16" si="19">N9/$Q9</f>
        <v>0.73809523809523814</v>
      </c>
      <c r="O16" s="23">
        <f t="shared" si="19"/>
        <v>0.16666666666666666</v>
      </c>
      <c r="P16" s="23">
        <f t="shared" si="19"/>
        <v>9.5238095238095233E-2</v>
      </c>
      <c r="Q16" s="23">
        <f t="shared" si="19"/>
        <v>1</v>
      </c>
    </row>
    <row r="17" spans="2:17" x14ac:dyDescent="0.35">
      <c r="B17" s="3" t="s">
        <v>180</v>
      </c>
      <c r="C17" s="23">
        <f t="shared" ref="C17:F17" si="20">C10/$F10</f>
        <v>0.54098360655737709</v>
      </c>
      <c r="D17" s="23">
        <f t="shared" si="20"/>
        <v>0.20491803278688525</v>
      </c>
      <c r="E17" s="23">
        <f t="shared" si="20"/>
        <v>0.25409836065573771</v>
      </c>
      <c r="F17" s="23">
        <f t="shared" si="20"/>
        <v>1</v>
      </c>
      <c r="G17" s="23">
        <f t="shared" ref="G17:J17" si="21">G10/$J10</f>
        <v>0.81818181818181823</v>
      </c>
      <c r="H17" s="23">
        <f t="shared" si="21"/>
        <v>8.2644628099173556E-2</v>
      </c>
      <c r="I17" s="23">
        <f t="shared" si="21"/>
        <v>9.9173553719008267E-2</v>
      </c>
      <c r="J17" s="23">
        <f t="shared" si="21"/>
        <v>1</v>
      </c>
      <c r="K17" s="23">
        <f t="shared" si="14"/>
        <v>0.52845528455284552</v>
      </c>
      <c r="L17" s="23">
        <f t="shared" si="14"/>
        <v>0.47154471544715448</v>
      </c>
      <c r="M17" s="23">
        <f t="shared" si="14"/>
        <v>1</v>
      </c>
      <c r="N17" s="23">
        <f t="shared" ref="N17:Q17" si="22">N10/$Q10</f>
        <v>0.72357723577235777</v>
      </c>
      <c r="O17" s="23">
        <f t="shared" si="22"/>
        <v>0.14634146341463414</v>
      </c>
      <c r="P17" s="23">
        <f t="shared" si="22"/>
        <v>0.13008130081300814</v>
      </c>
      <c r="Q17" s="23">
        <f t="shared" si="22"/>
        <v>1</v>
      </c>
    </row>
    <row r="19" spans="2:17" x14ac:dyDescent="0.35">
      <c r="B19" s="3" t="s">
        <v>181</v>
      </c>
    </row>
    <row r="20" spans="2:17" x14ac:dyDescent="0.35">
      <c r="C20" s="48" t="s">
        <v>71</v>
      </c>
      <c r="D20" s="48"/>
      <c r="E20" s="34"/>
      <c r="F20" s="25"/>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256</v>
      </c>
      <c r="C22" s="19">
        <f t="shared" ref="C22" si="23">($F8*C$10)/$F$10</f>
        <v>43.819672131147541</v>
      </c>
      <c r="D22" s="19">
        <f t="shared" ref="D22:F22" si="24">($F8*D$10)/$F$10</f>
        <v>16.598360655737704</v>
      </c>
      <c r="E22" s="19">
        <f t="shared" si="24"/>
        <v>20.581967213114755</v>
      </c>
      <c r="F22" s="19">
        <f t="shared" si="24"/>
        <v>81</v>
      </c>
      <c r="G22" s="19">
        <f t="shared" ref="G22" si="25">($J8*G$10)/$J$10</f>
        <v>64.63636363636364</v>
      </c>
      <c r="H22" s="19">
        <f t="shared" ref="H22:J22" si="26">($J8*H$10)/$J$10</f>
        <v>6.5289256198347108</v>
      </c>
      <c r="I22" s="19">
        <f t="shared" si="26"/>
        <v>7.8347107438016526</v>
      </c>
      <c r="J22" s="19">
        <f t="shared" si="26"/>
        <v>79</v>
      </c>
      <c r="K22" s="19">
        <f t="shared" ref="K22:M24" si="27">($M8*K$10)/$M$10</f>
        <v>42.804878048780488</v>
      </c>
      <c r="L22" s="19">
        <f t="shared" si="27"/>
        <v>38.195121951219512</v>
      </c>
      <c r="M22" s="19">
        <f t="shared" si="27"/>
        <v>81</v>
      </c>
      <c r="N22" s="19">
        <f t="shared" ref="N22" si="28">($Q8*N$10)/$Q$10</f>
        <v>58.609756097560975</v>
      </c>
      <c r="O22" s="19">
        <f t="shared" ref="O22:Q22" si="29">($Q8*O$10)/$Q$10</f>
        <v>11.853658536585366</v>
      </c>
      <c r="P22" s="19">
        <f t="shared" si="29"/>
        <v>10.536585365853659</v>
      </c>
      <c r="Q22" s="19">
        <f t="shared" si="29"/>
        <v>81</v>
      </c>
    </row>
    <row r="23" spans="2:17" x14ac:dyDescent="0.35">
      <c r="B23" s="6" t="s">
        <v>257</v>
      </c>
      <c r="C23" s="19">
        <f t="shared" ref="C23:F23" si="30">($F9*C$10)/$F$10</f>
        <v>22.180327868852459</v>
      </c>
      <c r="D23" s="19">
        <f t="shared" si="30"/>
        <v>8.4016393442622945</v>
      </c>
      <c r="E23" s="19">
        <f t="shared" si="30"/>
        <v>10.418032786885245</v>
      </c>
      <c r="F23" s="19">
        <f t="shared" si="30"/>
        <v>41</v>
      </c>
      <c r="G23" s="19">
        <f t="shared" ref="G23:J23" si="31">($J9*G$10)/$J$10</f>
        <v>34.363636363636367</v>
      </c>
      <c r="H23" s="19">
        <f t="shared" si="31"/>
        <v>3.4710743801652892</v>
      </c>
      <c r="I23" s="19">
        <f t="shared" si="31"/>
        <v>4.1652892561983474</v>
      </c>
      <c r="J23" s="19">
        <f t="shared" si="31"/>
        <v>42</v>
      </c>
      <c r="K23" s="19">
        <f t="shared" si="27"/>
        <v>22.195121951219512</v>
      </c>
      <c r="L23" s="19">
        <f t="shared" si="27"/>
        <v>19.804878048780488</v>
      </c>
      <c r="M23" s="19">
        <f t="shared" si="27"/>
        <v>42</v>
      </c>
      <c r="N23" s="19">
        <f t="shared" ref="N23:Q23" si="32">($Q9*N$10)/$Q$10</f>
        <v>30.390243902439025</v>
      </c>
      <c r="O23" s="19">
        <f t="shared" si="32"/>
        <v>6.1463414634146343</v>
      </c>
      <c r="P23" s="19">
        <f t="shared" si="32"/>
        <v>5.4634146341463419</v>
      </c>
      <c r="Q23" s="19">
        <f t="shared" si="32"/>
        <v>42</v>
      </c>
    </row>
    <row r="24" spans="2:17" x14ac:dyDescent="0.35">
      <c r="B24" s="3" t="s">
        <v>180</v>
      </c>
      <c r="C24" s="19">
        <f t="shared" ref="C24:F24" si="33">($F10*C$10)/$F$10</f>
        <v>66</v>
      </c>
      <c r="D24" s="19">
        <f t="shared" si="33"/>
        <v>25</v>
      </c>
      <c r="E24" s="19">
        <f t="shared" si="33"/>
        <v>31</v>
      </c>
      <c r="F24" s="19">
        <f t="shared" si="33"/>
        <v>122</v>
      </c>
      <c r="G24" s="19">
        <f t="shared" ref="G24:J24" si="34">($J10*G$10)/$J$10</f>
        <v>99</v>
      </c>
      <c r="H24" s="19">
        <f t="shared" si="34"/>
        <v>10</v>
      </c>
      <c r="I24" s="19">
        <f t="shared" si="34"/>
        <v>12</v>
      </c>
      <c r="J24" s="19">
        <f t="shared" si="34"/>
        <v>121</v>
      </c>
      <c r="K24" s="19">
        <f t="shared" si="27"/>
        <v>65</v>
      </c>
      <c r="L24" s="19">
        <f t="shared" si="27"/>
        <v>58</v>
      </c>
      <c r="M24" s="19">
        <f t="shared" si="27"/>
        <v>123</v>
      </c>
      <c r="N24" s="19">
        <f t="shared" ref="N24:Q24" si="35">($Q10*N$10)/$Q$10</f>
        <v>89</v>
      </c>
      <c r="O24" s="19">
        <f t="shared" si="35"/>
        <v>18</v>
      </c>
      <c r="P24" s="19">
        <f t="shared" si="35"/>
        <v>16</v>
      </c>
      <c r="Q24" s="19">
        <f t="shared" si="35"/>
        <v>123</v>
      </c>
    </row>
    <row r="26" spans="2:17" x14ac:dyDescent="0.35">
      <c r="B26" s="3" t="s">
        <v>182</v>
      </c>
    </row>
    <row r="27" spans="2:17" x14ac:dyDescent="0.35">
      <c r="C27" s="48" t="s">
        <v>71</v>
      </c>
      <c r="D27" s="48"/>
      <c r="E27" s="34"/>
      <c r="F27" s="25"/>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256</v>
      </c>
      <c r="C29" s="29">
        <f t="shared" ref="C29:C30" si="36">(C8-C22)^2/C22</f>
        <v>0.77290819549471657</v>
      </c>
      <c r="D29" s="29">
        <f t="shared" ref="D29:E29" si="37">(D8-D22)^2/D22</f>
        <v>0.34749645820684111</v>
      </c>
      <c r="E29" s="29">
        <f t="shared" si="37"/>
        <v>0.56763029555202982</v>
      </c>
      <c r="F29" s="29"/>
      <c r="G29" s="29">
        <f>(G8-G22)^2/G22</f>
        <v>4.1426927502877069E-2</v>
      </c>
      <c r="H29" s="29">
        <f t="shared" ref="H29:I29" si="38">(H8-H22)^2/H22</f>
        <v>3.3988910973951243E-2</v>
      </c>
      <c r="I29" s="29">
        <f t="shared" si="38"/>
        <v>0.17331833873836186</v>
      </c>
      <c r="J29" s="29"/>
      <c r="K29" s="29">
        <f>(K8-K22)^2/K22</f>
        <v>0.18379542769786669</v>
      </c>
      <c r="L29" s="29">
        <f t="shared" ref="L29" si="39">(L8-L22)^2/L22</f>
        <v>0.20597763448898854</v>
      </c>
      <c r="M29" s="29"/>
      <c r="N29" s="29">
        <f>(N8-N22)^2/N22</f>
        <v>6.3436963957654484E-3</v>
      </c>
      <c r="O29" s="29">
        <f t="shared" ref="O29:P29" si="40">(O8-O22)^2/O22</f>
        <v>6.1477466626518096E-2</v>
      </c>
      <c r="P29" s="29">
        <f t="shared" si="40"/>
        <v>0.20325203252032506</v>
      </c>
      <c r="Q29" s="21"/>
    </row>
    <row r="30" spans="2:17" x14ac:dyDescent="0.35">
      <c r="B30" s="6" t="s">
        <v>257</v>
      </c>
      <c r="C30" s="29">
        <f t="shared" si="36"/>
        <v>1.5269649715871232</v>
      </c>
      <c r="D30" s="29">
        <f t="shared" ref="D30:E30" si="41">(D9-D23)^2/D23</f>
        <v>0.68651739304278259</v>
      </c>
      <c r="E30" s="29">
        <f t="shared" si="41"/>
        <v>1.1214159497491321</v>
      </c>
      <c r="F30" s="29"/>
      <c r="G30" s="29">
        <f>(G9-G23)^2/G23</f>
        <v>7.7922077922077601E-2</v>
      </c>
      <c r="H30" s="29">
        <f t="shared" ref="H30:I30" si="42">(H9-H23)^2/H23</f>
        <v>6.3931523022432102E-2</v>
      </c>
      <c r="I30" s="29">
        <f t="shared" si="42"/>
        <v>0.32600354191263298</v>
      </c>
      <c r="J30" s="29"/>
      <c r="K30" s="29">
        <f>(K9-K23)^2/K23</f>
        <v>0.35446261056017148</v>
      </c>
      <c r="L30" s="29">
        <f t="shared" ref="L30" si="43">(L9-L23)^2/L23</f>
        <v>0.3972425808001922</v>
      </c>
      <c r="M30" s="29"/>
      <c r="N30" s="29">
        <f>(N9-N23)^2/N23</f>
        <v>1.2234271620404793E-2</v>
      </c>
      <c r="O30" s="29">
        <f t="shared" ref="O30:P30" si="44">(O9-O23)^2/O23</f>
        <v>0.11856368563685632</v>
      </c>
      <c r="P30" s="29">
        <f t="shared" si="44"/>
        <v>0.39198606271777026</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1:14" x14ac:dyDescent="0.35">
      <c r="B33" s="3" t="s">
        <v>183</v>
      </c>
      <c r="D33" s="13">
        <f>C29+C30+D29+D30+E29+E30</f>
        <v>5.0229332636326252</v>
      </c>
      <c r="E33" s="13"/>
      <c r="F33" s="13"/>
      <c r="G33" s="13">
        <f>G29+H29+G30+H30+I29+I30</f>
        <v>0.71659132007233284</v>
      </c>
      <c r="H33" s="13"/>
      <c r="I33" s="13"/>
      <c r="J33" s="13"/>
      <c r="K33" s="13">
        <f>K29+L29+K30+L30</f>
        <v>1.141478253547219</v>
      </c>
      <c r="L33" s="13"/>
      <c r="M33" s="13"/>
      <c r="N33" s="13">
        <f>N29+O29+N30+O30+P29+P30</f>
        <v>0.79385721551763999</v>
      </c>
    </row>
    <row r="34" spans="1:14" x14ac:dyDescent="0.35">
      <c r="B34" s="3" t="s">
        <v>184</v>
      </c>
      <c r="D34" s="31">
        <f>_xlfn.CHISQ.DIST.RT(D33,D32)</f>
        <v>8.1149136017203277E-2</v>
      </c>
      <c r="E34" s="32"/>
      <c r="G34" s="24">
        <f>_xlfn.CHISQ.DIST.RT(G33,G32)</f>
        <v>0.69886641758756163</v>
      </c>
      <c r="K34" s="24">
        <f>_xlfn.CHISQ.DIST.RT(K33,K32)</f>
        <v>0.28534018169848746</v>
      </c>
      <c r="N34" s="24">
        <f>_xlfn.CHISQ.DIST.RT(N33,N32)</f>
        <v>0.67238202677900305</v>
      </c>
    </row>
    <row r="36" spans="1:14" x14ac:dyDescent="0.35">
      <c r="A36" s="36">
        <v>1</v>
      </c>
      <c r="B36" s="3" t="s">
        <v>189</v>
      </c>
    </row>
    <row r="37" spans="1:14" x14ac:dyDescent="0.35">
      <c r="C37" s="6" t="s">
        <v>273</v>
      </c>
      <c r="D37" s="6" t="s">
        <v>274</v>
      </c>
      <c r="E37" s="6" t="s">
        <v>180</v>
      </c>
    </row>
    <row r="38" spans="1:14" x14ac:dyDescent="0.35">
      <c r="B38" s="6" t="s">
        <v>256</v>
      </c>
      <c r="C38">
        <f>C8</f>
        <v>38</v>
      </c>
      <c r="D38">
        <f>D8</f>
        <v>19</v>
      </c>
      <c r="E38">
        <f>SUM(C38:D38)</f>
        <v>57</v>
      </c>
    </row>
    <row r="39" spans="1:14" x14ac:dyDescent="0.35">
      <c r="B39" s="6" t="s">
        <v>257</v>
      </c>
      <c r="C39">
        <f>C9</f>
        <v>28</v>
      </c>
      <c r="D39">
        <f>D9</f>
        <v>6</v>
      </c>
      <c r="E39">
        <f>SUM(C39:D39)</f>
        <v>34</v>
      </c>
    </row>
    <row r="40" spans="1:14" x14ac:dyDescent="0.35">
      <c r="B40" t="s">
        <v>180</v>
      </c>
      <c r="C40">
        <f>SUM(C38:C39)</f>
        <v>66</v>
      </c>
      <c r="D40">
        <f t="shared" ref="D40:E40" si="45">SUM(D38:D39)</f>
        <v>25</v>
      </c>
      <c r="E40">
        <f t="shared" si="45"/>
        <v>91</v>
      </c>
    </row>
    <row r="42" spans="1:14" x14ac:dyDescent="0.35">
      <c r="B42" s="3" t="s">
        <v>181</v>
      </c>
    </row>
    <row r="43" spans="1:14" x14ac:dyDescent="0.35">
      <c r="C43" s="6" t="s">
        <v>273</v>
      </c>
      <c r="D43" s="6" t="s">
        <v>274</v>
      </c>
      <c r="E43" s="6" t="s">
        <v>180</v>
      </c>
    </row>
    <row r="44" spans="1:14" x14ac:dyDescent="0.35">
      <c r="B44" s="6" t="s">
        <v>256</v>
      </c>
      <c r="C44" s="2">
        <f>($E38*C$40)/$E$40</f>
        <v>41.340659340659343</v>
      </c>
      <c r="D44" s="2">
        <f t="shared" ref="D44:E44" si="46">($E38*D$40)/$E$40</f>
        <v>15.659340659340659</v>
      </c>
      <c r="E44" s="2">
        <f t="shared" si="46"/>
        <v>57</v>
      </c>
    </row>
    <row r="45" spans="1:14" x14ac:dyDescent="0.35">
      <c r="B45" s="6" t="s">
        <v>257</v>
      </c>
      <c r="C45" s="2">
        <f t="shared" ref="C45:E46" si="47">($E39*C$40)/$E$40</f>
        <v>24.659340659340661</v>
      </c>
      <c r="D45" s="2">
        <f t="shared" si="47"/>
        <v>9.3406593406593412</v>
      </c>
      <c r="E45" s="2">
        <f t="shared" si="47"/>
        <v>34</v>
      </c>
    </row>
    <row r="46" spans="1:14" x14ac:dyDescent="0.35">
      <c r="B46" t="s">
        <v>180</v>
      </c>
      <c r="C46" s="2">
        <f t="shared" si="47"/>
        <v>66</v>
      </c>
      <c r="D46" s="2">
        <f t="shared" si="47"/>
        <v>25</v>
      </c>
      <c r="E46" s="2">
        <f t="shared" si="47"/>
        <v>91</v>
      </c>
    </row>
    <row r="48" spans="1:14" x14ac:dyDescent="0.35">
      <c r="B48" s="3" t="s">
        <v>182</v>
      </c>
    </row>
    <row r="49" spans="1:5" x14ac:dyDescent="0.35">
      <c r="C49" s="48" t="s">
        <v>71</v>
      </c>
      <c r="D49" s="48"/>
      <c r="E49" s="34"/>
    </row>
    <row r="50" spans="1:5" x14ac:dyDescent="0.35">
      <c r="C50" s="17" t="s">
        <v>273</v>
      </c>
      <c r="D50" s="17" t="s">
        <v>274</v>
      </c>
      <c r="E50" s="17"/>
    </row>
    <row r="51" spans="1:5" x14ac:dyDescent="0.35">
      <c r="B51" s="6" t="s">
        <v>256</v>
      </c>
      <c r="C51" s="29">
        <f>(C38-C44)^2/C44</f>
        <v>0.26995226995227034</v>
      </c>
      <c r="D51" s="29">
        <f>(D38-D44)^2/D44</f>
        <v>0.7126739926739929</v>
      </c>
      <c r="E51" s="29"/>
    </row>
    <row r="52" spans="1:5" x14ac:dyDescent="0.35">
      <c r="B52" s="6" t="s">
        <v>257</v>
      </c>
      <c r="C52" s="29">
        <f>(C39-C45)^2/C45</f>
        <v>0.45256704080233462</v>
      </c>
      <c r="D52" s="29">
        <f>(D39-D45)^2/D45</f>
        <v>1.1947769877181644</v>
      </c>
      <c r="E52" s="29"/>
    </row>
    <row r="54" spans="1:5" x14ac:dyDescent="0.35">
      <c r="B54" s="3" t="s">
        <v>185</v>
      </c>
      <c r="C54" s="21"/>
      <c r="D54" s="19">
        <v>1</v>
      </c>
    </row>
    <row r="55" spans="1:5" x14ac:dyDescent="0.35">
      <c r="B55" s="3" t="s">
        <v>183</v>
      </c>
      <c r="D55" s="13">
        <f>C51+C52+D51+D52</f>
        <v>2.629970291146762</v>
      </c>
    </row>
    <row r="56" spans="1:5" x14ac:dyDescent="0.35">
      <c r="B56" s="3" t="s">
        <v>184</v>
      </c>
      <c r="D56" s="24">
        <f>_xlfn.CHISQ.DIST.RT(D55,D54)</f>
        <v>0.10486367555666089</v>
      </c>
    </row>
    <row r="58" spans="1:5" x14ac:dyDescent="0.35">
      <c r="A58" s="36">
        <v>2</v>
      </c>
      <c r="B58" s="3" t="s">
        <v>189</v>
      </c>
    </row>
    <row r="59" spans="1:5" x14ac:dyDescent="0.35">
      <c r="C59" s="6" t="s">
        <v>273</v>
      </c>
      <c r="D59" s="6" t="s">
        <v>275</v>
      </c>
      <c r="E59" s="6" t="s">
        <v>180</v>
      </c>
    </row>
    <row r="60" spans="1:5" x14ac:dyDescent="0.35">
      <c r="B60" s="6" t="s">
        <v>256</v>
      </c>
      <c r="C60">
        <f>C8</f>
        <v>38</v>
      </c>
      <c r="D60">
        <f>E8</f>
        <v>24</v>
      </c>
      <c r="E60">
        <f>SUM(C60:D60)</f>
        <v>62</v>
      </c>
    </row>
    <row r="61" spans="1:5" x14ac:dyDescent="0.35">
      <c r="B61" s="6" t="s">
        <v>257</v>
      </c>
      <c r="C61">
        <f>C9</f>
        <v>28</v>
      </c>
      <c r="D61">
        <f t="shared" ref="D61:D62" si="48">E9</f>
        <v>7</v>
      </c>
      <c r="E61">
        <f>SUM(C61:D61)</f>
        <v>35</v>
      </c>
    </row>
    <row r="62" spans="1:5" x14ac:dyDescent="0.35">
      <c r="B62" t="s">
        <v>180</v>
      </c>
      <c r="C62">
        <f>SUM(C60:C61)</f>
        <v>66</v>
      </c>
      <c r="D62">
        <f t="shared" si="48"/>
        <v>31</v>
      </c>
      <c r="E62">
        <f t="shared" ref="E62" si="49">SUM(E60:E61)</f>
        <v>97</v>
      </c>
    </row>
    <row r="64" spans="1:5" x14ac:dyDescent="0.35">
      <c r="B64" s="3" t="s">
        <v>181</v>
      </c>
    </row>
    <row r="65" spans="2:5" x14ac:dyDescent="0.35">
      <c r="C65" s="6" t="s">
        <v>273</v>
      </c>
      <c r="D65" s="6" t="s">
        <v>274</v>
      </c>
      <c r="E65" s="6" t="s">
        <v>180</v>
      </c>
    </row>
    <row r="66" spans="2:5" x14ac:dyDescent="0.35">
      <c r="B66" s="6" t="s">
        <v>256</v>
      </c>
      <c r="C66" s="2">
        <f>($E60*C$62)/$E$62</f>
        <v>42.185567010309278</v>
      </c>
      <c r="D66" s="2">
        <f>($E60*D$62)/$E$62</f>
        <v>19.814432989690722</v>
      </c>
      <c r="E66" s="2">
        <f t="shared" ref="E66" si="50">($E60*E$40)/$E$40</f>
        <v>62</v>
      </c>
    </row>
    <row r="67" spans="2:5" x14ac:dyDescent="0.35">
      <c r="B67" s="6" t="s">
        <v>257</v>
      </c>
      <c r="C67" s="2">
        <f>($E61*C$62)/$E$62</f>
        <v>23.814432989690722</v>
      </c>
      <c r="D67" s="2">
        <f>($E61*D$62)/$E$62</f>
        <v>11.185567010309278</v>
      </c>
      <c r="E67" s="2">
        <f t="shared" ref="E67" si="51">($E61*E$40)/$E$40</f>
        <v>35</v>
      </c>
    </row>
    <row r="68" spans="2:5" x14ac:dyDescent="0.35">
      <c r="B68" t="s">
        <v>180</v>
      </c>
      <c r="C68" s="2">
        <f t="shared" ref="C68:E68" si="52">($E62*C$40)/$E$40</f>
        <v>70.35164835164835</v>
      </c>
      <c r="D68" s="2">
        <f t="shared" si="52"/>
        <v>26.64835164835165</v>
      </c>
      <c r="E68" s="2">
        <f t="shared" si="52"/>
        <v>97</v>
      </c>
    </row>
    <row r="70" spans="2:5" x14ac:dyDescent="0.35">
      <c r="B70" s="3" t="s">
        <v>182</v>
      </c>
    </row>
    <row r="71" spans="2:5" x14ac:dyDescent="0.35">
      <c r="C71" s="48" t="s">
        <v>71</v>
      </c>
      <c r="D71" s="48"/>
      <c r="E71" s="34"/>
    </row>
    <row r="72" spans="2:5" x14ac:dyDescent="0.35">
      <c r="C72" s="17" t="s">
        <v>273</v>
      </c>
      <c r="D72" s="17" t="s">
        <v>274</v>
      </c>
      <c r="E72" s="17"/>
    </row>
    <row r="73" spans="2:5" x14ac:dyDescent="0.35">
      <c r="B73" s="6" t="s">
        <v>256</v>
      </c>
      <c r="C73" s="29">
        <f>(C60-C66)^2/C66</f>
        <v>0.41528353034837889</v>
      </c>
      <c r="D73" s="29">
        <f>(D60-D66)^2/D66</f>
        <v>0.88415203235461304</v>
      </c>
      <c r="E73" s="29"/>
    </row>
    <row r="74" spans="2:5" x14ac:dyDescent="0.35">
      <c r="B74" s="6" t="s">
        <v>257</v>
      </c>
      <c r="C74" s="29">
        <f>(C61-C67)^2/C67</f>
        <v>0.73564511090284257</v>
      </c>
      <c r="D74" s="29">
        <f>(D61-D67)^2/D67</f>
        <v>1.5662121715996005</v>
      </c>
      <c r="E74" s="29"/>
    </row>
    <row r="76" spans="2:5" x14ac:dyDescent="0.35">
      <c r="B76" s="3" t="s">
        <v>185</v>
      </c>
      <c r="C76" s="21"/>
      <c r="D76" s="19">
        <v>1</v>
      </c>
    </row>
    <row r="77" spans="2:5" x14ac:dyDescent="0.35">
      <c r="B77" s="3" t="s">
        <v>183</v>
      </c>
      <c r="D77" s="13">
        <f>C73+C74+D73+D74</f>
        <v>3.6012928452054349</v>
      </c>
    </row>
    <row r="78" spans="2:5" x14ac:dyDescent="0.35">
      <c r="B78" s="3" t="s">
        <v>184</v>
      </c>
      <c r="D78" s="24">
        <f>_xlfn.CHISQ.DIST.RT(D77,D76)</f>
        <v>5.7734655655105896E-2</v>
      </c>
    </row>
  </sheetData>
  <mergeCells count="18">
    <mergeCell ref="C49:D49"/>
    <mergeCell ref="C71:D71"/>
    <mergeCell ref="C6:D6"/>
    <mergeCell ref="G6:J6"/>
    <mergeCell ref="K6:M6"/>
    <mergeCell ref="C20:D20"/>
    <mergeCell ref="G20:J20"/>
    <mergeCell ref="K20:M20"/>
    <mergeCell ref="N6:Q6"/>
    <mergeCell ref="C13:D13"/>
    <mergeCell ref="G13:J13"/>
    <mergeCell ref="K13:M13"/>
    <mergeCell ref="N13:Q13"/>
    <mergeCell ref="N20:Q20"/>
    <mergeCell ref="C27:D27"/>
    <mergeCell ref="G27:J27"/>
    <mergeCell ref="K27:M27"/>
    <mergeCell ref="N27:Q27"/>
  </mergeCells>
  <pageMargins left="0.7" right="0.7" top="0.75" bottom="0.75" header="0.3" footer="0.3"/>
  <pageSetup paperSize="9"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34"/>
  <sheetViews>
    <sheetView topLeftCell="A16" workbookViewId="0">
      <selection activeCell="K34" sqref="K34"/>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7"/>
      <c r="F6" s="25"/>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266</v>
      </c>
      <c r="C8" s="18">
        <f>COUNTIFS(bleach_treatment!V2:V124,0,bleach_treatment!AJ2:AJ124,1)</f>
        <v>29</v>
      </c>
      <c r="D8" s="18">
        <f>COUNTIFS(bleach_treatment!V2:V124,"&lt;0",bleach_treatment!AJ2:AJ124,1)</f>
        <v>13</v>
      </c>
      <c r="E8" s="18">
        <f>COUNTIFS(bleach_treatment!V2:V124,"&gt;0",bleach_treatment!AJ2:AJ124,1)</f>
        <v>14</v>
      </c>
      <c r="F8" s="18">
        <f>SUM(C8:E8)</f>
        <v>56</v>
      </c>
      <c r="G8" s="18">
        <f>COUNTIFS(bleach_treatment!Y2:Y124,0,bleach_treatment!AJ2:AJ124,1)</f>
        <v>43</v>
      </c>
      <c r="H8" s="18">
        <f>COUNTIFS(bleach_treatment!Y2:Y124,"&lt;0",bleach_treatment!AJ2:AJ124,1)</f>
        <v>6</v>
      </c>
      <c r="I8" s="18">
        <f>COUNTIFS(bleach_treatment!Y2:Y124,"&gt;0",bleach_treatment!AJ2:AJ124,1)</f>
        <v>7</v>
      </c>
      <c r="J8" s="18">
        <f>SUM(G8:I8)</f>
        <v>56</v>
      </c>
      <c r="K8" s="18">
        <f>COUNTIFS(bleach_treatment!P2:P124,"&gt;=0",bleach_treatment!AJ2:AJ124,1)</f>
        <v>27</v>
      </c>
      <c r="L8" s="18">
        <f>COUNTIFS(bleach_treatment!P2:P124,"&lt;0",bleach_treatment!AJ2:AJ124,1)</f>
        <v>30</v>
      </c>
      <c r="M8" s="18">
        <f>SUM(K8:L8)</f>
        <v>57</v>
      </c>
      <c r="N8" s="18">
        <f>COUNTIFS(bleach_treatment!M2:M124,0,bleach_treatment!AJ2:AJ124,1)</f>
        <v>40</v>
      </c>
      <c r="O8" s="18">
        <f>COUNTIFS(bleach_treatment!M2:M124,"&lt;0",bleach_treatment!AJ2:AJ124,1)</f>
        <v>9</v>
      </c>
      <c r="P8" s="18">
        <f>COUNTIFS(bleach_treatment!M2:M124,"&gt;0",bleach_treatment!AJ2:AJ124,1)</f>
        <v>8</v>
      </c>
      <c r="Q8" s="18">
        <f>SUM(N8:P8)</f>
        <v>57</v>
      </c>
    </row>
    <row r="9" spans="2:17" x14ac:dyDescent="0.35">
      <c r="B9" s="6" t="s">
        <v>267</v>
      </c>
      <c r="C9" s="18">
        <f>COUNTIFS(bleach_treatment!V2:V124,0,bleach_treatment!AJ2:AJ124,0)</f>
        <v>37</v>
      </c>
      <c r="D9" s="18">
        <f>COUNTIFS(bleach_treatment!V2:V124,"&lt;0",bleach_treatment!AJ2:AJ124,0)</f>
        <v>12</v>
      </c>
      <c r="E9" s="18">
        <f>COUNTIFS(bleach_treatment!V2:V124,"&gt;0",bleach_treatment!AJ2:AJ124,0)</f>
        <v>17</v>
      </c>
      <c r="F9" s="18">
        <f t="shared" ref="F9" si="0">SUM(C9:E9)</f>
        <v>66</v>
      </c>
      <c r="G9" s="18">
        <f>COUNTIFS(bleach_treatment!Y2:Y124,0,bleach_treatment!AJ2:AJ124,0)</f>
        <v>56</v>
      </c>
      <c r="H9" s="18">
        <f>COUNTIFS(bleach_treatment!Y2:Y124,"&lt;0",bleach_treatment!AJ2:AJ124,0)</f>
        <v>4</v>
      </c>
      <c r="I9" s="18">
        <f>COUNTIFS(bleach_treatment!Y2:Y124,"&gt;0",bleach_treatment!AJ2:AJ124,0)</f>
        <v>5</v>
      </c>
      <c r="J9" s="18">
        <f t="shared" ref="J9" si="1">SUM(G9:I9)</f>
        <v>65</v>
      </c>
      <c r="K9" s="18">
        <f>COUNTIFS(bleach_treatment!P2:P124,"&gt;=0",bleach_treatment!AJ2:AJ124,0)</f>
        <v>38</v>
      </c>
      <c r="L9" s="18">
        <f>COUNTIFS(bleach_treatment!P2:P124,"&lt;0",bleach_treatment!AJ2:AJ124,0)</f>
        <v>28</v>
      </c>
      <c r="M9" s="18">
        <f>SUM(K9:L9)</f>
        <v>66</v>
      </c>
      <c r="N9" s="18">
        <f>COUNTIFS(bleach_treatment!M2:M124,0,bleach_treatment!AJ2:AJ124,0)</f>
        <v>49</v>
      </c>
      <c r="O9" s="18">
        <f>COUNTIFS(bleach_treatment!M2:M124,"&lt;0",bleach_treatment!AJ2:AJ124,0)</f>
        <v>9</v>
      </c>
      <c r="P9" s="18">
        <f>COUNTIFS(bleach_treatment!M2:M124,"&gt;0",bleach_treatment!AJ2:AJ124,0)</f>
        <v>8</v>
      </c>
      <c r="Q9" s="18">
        <f t="shared" ref="Q9" si="2">SUM(N9:P9)</f>
        <v>66</v>
      </c>
    </row>
    <row r="10" spans="2:17" x14ac:dyDescent="0.35">
      <c r="B10" s="3" t="s">
        <v>180</v>
      </c>
      <c r="C10" s="18">
        <f>SUM(C8:C9)</f>
        <v>66</v>
      </c>
      <c r="D10" s="18">
        <f t="shared" ref="D10:F10" si="3">SUM(D8:D9)</f>
        <v>25</v>
      </c>
      <c r="E10" s="18">
        <f t="shared" si="3"/>
        <v>31</v>
      </c>
      <c r="F10" s="18">
        <f t="shared" si="3"/>
        <v>122</v>
      </c>
      <c r="G10" s="22">
        <f>SUM(G8:G9)</f>
        <v>99</v>
      </c>
      <c r="H10" s="22">
        <f t="shared" ref="H10:J10" si="4">SUM(H8:H9)</f>
        <v>10</v>
      </c>
      <c r="I10" s="22">
        <f t="shared" si="4"/>
        <v>12</v>
      </c>
      <c r="J10" s="22">
        <f t="shared" si="4"/>
        <v>121</v>
      </c>
      <c r="K10" s="22">
        <f>SUM(K8:K9)</f>
        <v>65</v>
      </c>
      <c r="L10" s="22">
        <f t="shared" ref="L10:M10" si="5">SUM(L8:L9)</f>
        <v>58</v>
      </c>
      <c r="M10" s="22">
        <f t="shared" si="5"/>
        <v>123</v>
      </c>
      <c r="N10" s="22">
        <f>SUM(N8:N9)</f>
        <v>89</v>
      </c>
      <c r="O10" s="22">
        <f t="shared" ref="O10:Q10" si="6">SUM(O8:O9)</f>
        <v>18</v>
      </c>
      <c r="P10" s="22">
        <f t="shared" si="6"/>
        <v>16</v>
      </c>
      <c r="Q10" s="22">
        <f t="shared" si="6"/>
        <v>123</v>
      </c>
    </row>
    <row r="12" spans="2:17" x14ac:dyDescent="0.35">
      <c r="B12" s="3" t="s">
        <v>188</v>
      </c>
    </row>
    <row r="13" spans="2:17" x14ac:dyDescent="0.35">
      <c r="C13" s="48" t="s">
        <v>71</v>
      </c>
      <c r="D13" s="48"/>
      <c r="E13" s="37"/>
      <c r="F13" s="25"/>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266</v>
      </c>
      <c r="C15" s="23">
        <f t="shared" ref="C15" si="7">C8/$F8</f>
        <v>0.5178571428571429</v>
      </c>
      <c r="D15" s="23">
        <f t="shared" ref="D15:F15" si="8">D8/$F8</f>
        <v>0.23214285714285715</v>
      </c>
      <c r="E15" s="23">
        <f t="shared" si="8"/>
        <v>0.25</v>
      </c>
      <c r="F15" s="23">
        <f t="shared" si="8"/>
        <v>1</v>
      </c>
      <c r="G15" s="23">
        <f t="shared" ref="G15" si="9">G8/$J8</f>
        <v>0.7678571428571429</v>
      </c>
      <c r="H15" s="23">
        <f t="shared" ref="H15:J15" si="10">H8/$J8</f>
        <v>0.10714285714285714</v>
      </c>
      <c r="I15" s="23">
        <f t="shared" si="10"/>
        <v>0.125</v>
      </c>
      <c r="J15" s="23">
        <f t="shared" si="10"/>
        <v>1</v>
      </c>
      <c r="K15" s="23">
        <f t="shared" ref="K15:M17" si="11">K8/$M8</f>
        <v>0.47368421052631576</v>
      </c>
      <c r="L15" s="23">
        <f t="shared" si="11"/>
        <v>0.52631578947368418</v>
      </c>
      <c r="M15" s="23">
        <f t="shared" si="11"/>
        <v>1</v>
      </c>
      <c r="N15" s="23">
        <f t="shared" ref="N15" si="12">N8/$Q8</f>
        <v>0.70175438596491224</v>
      </c>
      <c r="O15" s="23">
        <f t="shared" ref="O15:Q15" si="13">O8/$Q8</f>
        <v>0.15789473684210525</v>
      </c>
      <c r="P15" s="23">
        <f t="shared" si="13"/>
        <v>0.14035087719298245</v>
      </c>
      <c r="Q15" s="23">
        <f t="shared" si="13"/>
        <v>1</v>
      </c>
    </row>
    <row r="16" spans="2:17" x14ac:dyDescent="0.35">
      <c r="B16" s="6" t="s">
        <v>267</v>
      </c>
      <c r="C16" s="23">
        <f t="shared" ref="C16:F16" si="14">C9/$F9</f>
        <v>0.56060606060606055</v>
      </c>
      <c r="D16" s="23">
        <f t="shared" si="14"/>
        <v>0.18181818181818182</v>
      </c>
      <c r="E16" s="23">
        <f t="shared" si="14"/>
        <v>0.25757575757575757</v>
      </c>
      <c r="F16" s="23">
        <f t="shared" si="14"/>
        <v>1</v>
      </c>
      <c r="G16" s="23">
        <f t="shared" ref="G16:J16" si="15">G9/$J9</f>
        <v>0.86153846153846159</v>
      </c>
      <c r="H16" s="23">
        <f t="shared" si="15"/>
        <v>6.1538461538461542E-2</v>
      </c>
      <c r="I16" s="23">
        <f t="shared" si="15"/>
        <v>7.6923076923076927E-2</v>
      </c>
      <c r="J16" s="23">
        <f t="shared" si="15"/>
        <v>1</v>
      </c>
      <c r="K16" s="23">
        <f t="shared" si="11"/>
        <v>0.5757575757575758</v>
      </c>
      <c r="L16" s="23">
        <f t="shared" si="11"/>
        <v>0.42424242424242425</v>
      </c>
      <c r="M16" s="23">
        <f t="shared" si="11"/>
        <v>1</v>
      </c>
      <c r="N16" s="23">
        <f t="shared" ref="N16:Q16" si="16">N9/$Q9</f>
        <v>0.74242424242424243</v>
      </c>
      <c r="O16" s="23">
        <f t="shared" si="16"/>
        <v>0.13636363636363635</v>
      </c>
      <c r="P16" s="23">
        <f t="shared" si="16"/>
        <v>0.12121212121212122</v>
      </c>
      <c r="Q16" s="23">
        <f t="shared" si="16"/>
        <v>1</v>
      </c>
    </row>
    <row r="17" spans="2:17" x14ac:dyDescent="0.35">
      <c r="B17" s="3" t="s">
        <v>180</v>
      </c>
      <c r="C17" s="23">
        <f t="shared" ref="C17:F17" si="17">C10/$F10</f>
        <v>0.54098360655737709</v>
      </c>
      <c r="D17" s="23">
        <f t="shared" si="17"/>
        <v>0.20491803278688525</v>
      </c>
      <c r="E17" s="23">
        <f t="shared" si="17"/>
        <v>0.25409836065573771</v>
      </c>
      <c r="F17" s="23">
        <f t="shared" si="17"/>
        <v>1</v>
      </c>
      <c r="G17" s="23">
        <f t="shared" ref="G17:J17" si="18">G10/$J10</f>
        <v>0.81818181818181823</v>
      </c>
      <c r="H17" s="23">
        <f t="shared" si="18"/>
        <v>8.2644628099173556E-2</v>
      </c>
      <c r="I17" s="23">
        <f t="shared" si="18"/>
        <v>9.9173553719008267E-2</v>
      </c>
      <c r="J17" s="23">
        <f t="shared" si="18"/>
        <v>1</v>
      </c>
      <c r="K17" s="23">
        <f t="shared" si="11"/>
        <v>0.52845528455284552</v>
      </c>
      <c r="L17" s="23">
        <f t="shared" si="11"/>
        <v>0.47154471544715448</v>
      </c>
      <c r="M17" s="23">
        <f t="shared" si="11"/>
        <v>1</v>
      </c>
      <c r="N17" s="23">
        <f t="shared" ref="N17:Q17" si="19">N10/$Q10</f>
        <v>0.72357723577235777</v>
      </c>
      <c r="O17" s="23">
        <f t="shared" si="19"/>
        <v>0.14634146341463414</v>
      </c>
      <c r="P17" s="23">
        <f t="shared" si="19"/>
        <v>0.13008130081300814</v>
      </c>
      <c r="Q17" s="23">
        <f t="shared" si="19"/>
        <v>1</v>
      </c>
    </row>
    <row r="19" spans="2:17" x14ac:dyDescent="0.35">
      <c r="B19" s="3" t="s">
        <v>181</v>
      </c>
    </row>
    <row r="20" spans="2:17" x14ac:dyDescent="0.35">
      <c r="C20" s="48" t="s">
        <v>71</v>
      </c>
      <c r="D20" s="48"/>
      <c r="E20" s="37"/>
      <c r="F20" s="25"/>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266</v>
      </c>
      <c r="C22" s="19">
        <f t="shared" ref="C22" si="20">($F8*C$10)/$F$10</f>
        <v>30.295081967213115</v>
      </c>
      <c r="D22" s="19">
        <f t="shared" ref="D22:F22" si="21">($F8*D$10)/$F$10</f>
        <v>11.475409836065573</v>
      </c>
      <c r="E22" s="19">
        <f t="shared" si="21"/>
        <v>14.229508196721312</v>
      </c>
      <c r="F22" s="19">
        <f t="shared" si="21"/>
        <v>56</v>
      </c>
      <c r="G22" s="19">
        <f t="shared" ref="G22" si="22">($J8*G$10)/$J$10</f>
        <v>45.81818181818182</v>
      </c>
      <c r="H22" s="19">
        <f t="shared" ref="H22:K22" si="23">($J8*H$10)/$J$10</f>
        <v>4.6280991735537187</v>
      </c>
      <c r="I22" s="19">
        <f t="shared" si="23"/>
        <v>5.553719008264463</v>
      </c>
      <c r="J22" s="19">
        <f t="shared" si="23"/>
        <v>56</v>
      </c>
      <c r="K22" s="19">
        <f t="shared" si="23"/>
        <v>30.082644628099175</v>
      </c>
      <c r="L22" s="19">
        <f t="shared" ref="L22:M22" si="24">($J8*L$10)/$J$10</f>
        <v>26.84297520661157</v>
      </c>
      <c r="M22" s="19">
        <f t="shared" si="24"/>
        <v>56.925619834710744</v>
      </c>
      <c r="N22" s="19">
        <f t="shared" ref="N22" si="25">($Q8*N$10)/$Q$10</f>
        <v>41.243902439024389</v>
      </c>
      <c r="O22" s="19">
        <f t="shared" ref="O22:Q22" si="26">($Q8*O$10)/$Q$10</f>
        <v>8.3414634146341466</v>
      </c>
      <c r="P22" s="19">
        <f t="shared" si="26"/>
        <v>7.4146341463414638</v>
      </c>
      <c r="Q22" s="19">
        <f t="shared" si="26"/>
        <v>57</v>
      </c>
    </row>
    <row r="23" spans="2:17" x14ac:dyDescent="0.35">
      <c r="B23" s="6" t="s">
        <v>267</v>
      </c>
      <c r="C23" s="19">
        <f t="shared" ref="C23:F23" si="27">($F9*C$10)/$F$10</f>
        <v>35.704918032786885</v>
      </c>
      <c r="D23" s="19">
        <f t="shared" si="27"/>
        <v>13.524590163934427</v>
      </c>
      <c r="E23" s="19">
        <f t="shared" si="27"/>
        <v>16.770491803278688</v>
      </c>
      <c r="F23" s="19">
        <f t="shared" si="27"/>
        <v>66</v>
      </c>
      <c r="G23" s="19">
        <f t="shared" ref="G23:K23" si="28">($J9*G$10)/$J$10</f>
        <v>53.18181818181818</v>
      </c>
      <c r="H23" s="19">
        <f t="shared" si="28"/>
        <v>5.3719008264462813</v>
      </c>
      <c r="I23" s="19">
        <f t="shared" si="28"/>
        <v>6.446280991735537</v>
      </c>
      <c r="J23" s="19">
        <f t="shared" si="28"/>
        <v>65</v>
      </c>
      <c r="K23" s="19">
        <f t="shared" si="28"/>
        <v>34.917355371900825</v>
      </c>
      <c r="L23" s="19">
        <f t="shared" ref="L23:M23" si="29">($J9*L$10)/$J$10</f>
        <v>31.15702479338843</v>
      </c>
      <c r="M23" s="19">
        <f t="shared" si="29"/>
        <v>66.074380165289256</v>
      </c>
      <c r="N23" s="19">
        <f t="shared" ref="N23:Q23" si="30">($Q9*N$10)/$Q$10</f>
        <v>47.756097560975611</v>
      </c>
      <c r="O23" s="19">
        <f t="shared" si="30"/>
        <v>9.6585365853658534</v>
      </c>
      <c r="P23" s="19">
        <f t="shared" si="30"/>
        <v>8.5853658536585371</v>
      </c>
      <c r="Q23" s="19">
        <f t="shared" si="30"/>
        <v>66</v>
      </c>
    </row>
    <row r="24" spans="2:17" x14ac:dyDescent="0.35">
      <c r="B24" s="3" t="s">
        <v>180</v>
      </c>
      <c r="C24" s="19">
        <f t="shared" ref="C24:F24" si="31">($F10*C$10)/$F$10</f>
        <v>66</v>
      </c>
      <c r="D24" s="19">
        <f t="shared" si="31"/>
        <v>25</v>
      </c>
      <c r="E24" s="19">
        <f t="shared" si="31"/>
        <v>31</v>
      </c>
      <c r="F24" s="19">
        <f t="shared" si="31"/>
        <v>122</v>
      </c>
      <c r="G24" s="19">
        <f t="shared" ref="G24:K24" si="32">($J10*G$10)/$J$10</f>
        <v>99</v>
      </c>
      <c r="H24" s="19">
        <f t="shared" si="32"/>
        <v>10</v>
      </c>
      <c r="I24" s="19">
        <f t="shared" si="32"/>
        <v>12</v>
      </c>
      <c r="J24" s="19">
        <f t="shared" si="32"/>
        <v>121</v>
      </c>
      <c r="K24" s="19">
        <f t="shared" si="32"/>
        <v>65</v>
      </c>
      <c r="L24" s="19">
        <f t="shared" ref="L24:M24" si="33">($J10*L$10)/$J$10</f>
        <v>58</v>
      </c>
      <c r="M24" s="19">
        <f t="shared" si="33"/>
        <v>123</v>
      </c>
      <c r="N24" s="19">
        <f t="shared" ref="N24:Q24" si="34">($Q10*N$10)/$Q$10</f>
        <v>89</v>
      </c>
      <c r="O24" s="19">
        <f t="shared" si="34"/>
        <v>18</v>
      </c>
      <c r="P24" s="19">
        <f t="shared" si="34"/>
        <v>16</v>
      </c>
      <c r="Q24" s="19">
        <f t="shared" si="34"/>
        <v>123</v>
      </c>
    </row>
    <row r="26" spans="2:17" x14ac:dyDescent="0.35">
      <c r="B26" s="3" t="s">
        <v>182</v>
      </c>
    </row>
    <row r="27" spans="2:17" x14ac:dyDescent="0.35">
      <c r="C27" s="48" t="s">
        <v>71</v>
      </c>
      <c r="D27" s="48"/>
      <c r="E27" s="37"/>
      <c r="F27" s="25"/>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266</v>
      </c>
      <c r="C29" s="29">
        <f t="shared" ref="C29:C30" si="35">(C8-C22)^2/C22</f>
        <v>5.5363352494500022E-2</v>
      </c>
      <c r="D29" s="29">
        <f t="shared" ref="D29:E29" si="36">(D8-D22)^2/D22</f>
        <v>0.20255269320843108</v>
      </c>
      <c r="E29" s="29">
        <f t="shared" si="36"/>
        <v>3.7017451084082717E-3</v>
      </c>
      <c r="F29" s="29"/>
      <c r="G29" s="29">
        <f>(G8-G22)^2/G22</f>
        <v>0.17334054834054857</v>
      </c>
      <c r="H29" s="29">
        <f t="shared" ref="H29:I29" si="37">(H8-H22)^2/H22</f>
        <v>0.40667060212514777</v>
      </c>
      <c r="I29" s="29">
        <f t="shared" si="37"/>
        <v>0.37663567493112937</v>
      </c>
      <c r="J29" s="29"/>
      <c r="K29" s="29">
        <f>(K8-K22)^2/K22</f>
        <v>0.31588638634093202</v>
      </c>
      <c r="L29" s="29">
        <f t="shared" ref="L29" si="38">(L8-L22)^2/L22</f>
        <v>0.37130032976427979</v>
      </c>
      <c r="M29" s="29"/>
      <c r="N29" s="29">
        <f>(N8-N22)^2/N22</f>
        <v>3.751568562403533E-2</v>
      </c>
      <c r="O29" s="29">
        <f t="shared" ref="O29:P29" si="39">(O8-O22)^2/O22</f>
        <v>5.1989730423619977E-2</v>
      </c>
      <c r="P29" s="29">
        <f t="shared" si="39"/>
        <v>4.6213093709884405E-2</v>
      </c>
      <c r="Q29" s="21"/>
    </row>
    <row r="30" spans="2:17" x14ac:dyDescent="0.35">
      <c r="B30" s="6" t="s">
        <v>267</v>
      </c>
      <c r="C30" s="29">
        <f t="shared" si="35"/>
        <v>4.6974965752909111E-2</v>
      </c>
      <c r="D30" s="29">
        <f t="shared" ref="D30:E30" si="40">(D9-D23)^2/D23</f>
        <v>0.17186289120715365</v>
      </c>
      <c r="E30" s="29">
        <f t="shared" si="40"/>
        <v>3.1408746374373218E-3</v>
      </c>
      <c r="F30" s="29"/>
      <c r="G30" s="29">
        <f>(G9-G23)^2/G23</f>
        <v>0.14933954933954954</v>
      </c>
      <c r="H30" s="29">
        <f t="shared" ref="H30:I30" si="41">(H9-H23)^2/H23</f>
        <v>0.35036236490781958</v>
      </c>
      <c r="I30" s="29">
        <f t="shared" si="41"/>
        <v>0.32448611994066534</v>
      </c>
      <c r="J30" s="29"/>
      <c r="K30" s="29">
        <f>(K9-K23)^2/K23</f>
        <v>0.27214827130911068</v>
      </c>
      <c r="L30" s="29">
        <f t="shared" ref="L30" si="42">(L9-L23)^2/L23</f>
        <v>0.31988951487384104</v>
      </c>
      <c r="M30" s="29"/>
      <c r="N30" s="29">
        <f>(N9-N23)^2/N23</f>
        <v>3.2399910311666877E-2</v>
      </c>
      <c r="O30" s="29">
        <f t="shared" ref="O30:P30" si="43">(O9-O23)^2/O23</f>
        <v>4.4900221729489986E-2</v>
      </c>
      <c r="P30" s="29">
        <f t="shared" si="43"/>
        <v>3.9911308203991198E-2</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2:14" x14ac:dyDescent="0.35">
      <c r="B33" s="3" t="s">
        <v>183</v>
      </c>
      <c r="D33" s="13">
        <f>C29+C30+D29+D30+E29+E30</f>
        <v>0.48359652240883944</v>
      </c>
      <c r="E33" s="13"/>
      <c r="F33" s="13"/>
      <c r="G33" s="13">
        <f>G29+H29+G30+H30+I29+I30</f>
        <v>1.7808348595848602</v>
      </c>
      <c r="H33" s="13"/>
      <c r="I33" s="13"/>
      <c r="J33" s="13"/>
      <c r="K33" s="13">
        <f>K29+L29+K30+L30</f>
        <v>1.2792245022881636</v>
      </c>
      <c r="L33" s="13"/>
      <c r="M33" s="13"/>
      <c r="N33" s="13">
        <f>N29+O29+N30+O30+P29+P30</f>
        <v>0.25292995000268775</v>
      </c>
    </row>
    <row r="34" spans="2:14" x14ac:dyDescent="0.35">
      <c r="B34" s="3" t="s">
        <v>184</v>
      </c>
      <c r="D34" s="24">
        <f>_xlfn.CHISQ.DIST.RT(D33,D32)</f>
        <v>0.78521456981594673</v>
      </c>
      <c r="E34" s="32"/>
      <c r="G34" s="24">
        <f>_xlfn.CHISQ.DIST.RT(G33,G32)</f>
        <v>0.41048436857963227</v>
      </c>
      <c r="K34" s="24">
        <f>_xlfn.CHISQ.DIST.RT(K33,K32)</f>
        <v>0.25804327576404623</v>
      </c>
      <c r="N34" s="24">
        <f>_xlfn.CHISQ.DIST.RT(N33,N32)</f>
        <v>0.88120501320741584</v>
      </c>
    </row>
  </sheetData>
  <mergeCells count="16">
    <mergeCell ref="C6:D6"/>
    <mergeCell ref="G6:J6"/>
    <mergeCell ref="K6:M6"/>
    <mergeCell ref="N6:Q6"/>
    <mergeCell ref="C13:D13"/>
    <mergeCell ref="G13:J13"/>
    <mergeCell ref="K13:M13"/>
    <mergeCell ref="N13:Q13"/>
    <mergeCell ref="C20:D20"/>
    <mergeCell ref="G20:J20"/>
    <mergeCell ref="K20:M20"/>
    <mergeCell ref="N20:Q20"/>
    <mergeCell ref="C27:D27"/>
    <mergeCell ref="G27:J27"/>
    <mergeCell ref="K27:M27"/>
    <mergeCell ref="N27:Q27"/>
  </mergeCells>
  <pageMargins left="0.7" right="0.7" top="0.75" bottom="0.75" header="0.3" footer="0.3"/>
  <pageSetup paperSize="9"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34"/>
  <sheetViews>
    <sheetView topLeftCell="D1" workbookViewId="0">
      <selection activeCell="N17" sqref="N17"/>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6.453125" customWidth="1"/>
    <col min="12" max="12" width="12.26953125" bestFit="1" customWidth="1"/>
    <col min="14" max="14" width="9.6328125" bestFit="1"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3"/>
      <c r="F6" s="33"/>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250</v>
      </c>
      <c r="C8" s="18">
        <f>COUNTIFS(bleach_treatment!V2:V124,0,bleach_treatment!AA2:AA124,1)</f>
        <v>29</v>
      </c>
      <c r="D8" s="18">
        <f>COUNTIFS(bleach_treatment!V2:V124,"&lt;0",bleach_treatment!AA2:AA124,1)</f>
        <v>8</v>
      </c>
      <c r="E8" s="18">
        <f>COUNTIFS(bleach_treatment!V2:V124,"&gt;0",bleach_treatment!AA2:AA124,1)</f>
        <v>15</v>
      </c>
      <c r="F8" s="18">
        <f>SUM(C8:E8)</f>
        <v>52</v>
      </c>
      <c r="G8" s="18">
        <f>COUNTIFS(bleach_treatment!Y2:Y124,0,bleach_treatment!AA2:AA124,1)</f>
        <v>40</v>
      </c>
      <c r="H8" s="18">
        <f>COUNTIFS(bleach_treatment!Y2:Y124,"&lt;0",bleach_treatment!AA2:AA124,1)</f>
        <v>5</v>
      </c>
      <c r="I8" s="18">
        <f>COUNTIFS(bleach_treatment!Y2:Y124,"&gt;0",bleach_treatment!AA2:AA124,1)</f>
        <v>6</v>
      </c>
      <c r="J8" s="18">
        <f>SUM(G8:I8)</f>
        <v>51</v>
      </c>
      <c r="K8" s="18">
        <f>COUNTIFS(bleach_treatment!P2:P124,"&gt;=0",bleach_treatment!AA2:AA124,1)</f>
        <v>27</v>
      </c>
      <c r="L8" s="18">
        <f>COUNTIFS(bleach_treatment!P2:P124,"&lt;0",bleach_treatment!AA2:AA124,1)</f>
        <v>26</v>
      </c>
      <c r="M8" s="18">
        <f>SUM(K8:L8)</f>
        <v>53</v>
      </c>
      <c r="N8" s="18">
        <f>COUNTIFS(bleach_treatment!M2:M124,0,bleach_treatment!AA2:AA124,1)</f>
        <v>40</v>
      </c>
      <c r="O8" s="18">
        <f>COUNTIFS(bleach_treatment!M2:M124,"&lt;0",bleach_treatment!AA2:AA124,1)</f>
        <v>5</v>
      </c>
      <c r="P8" s="18">
        <f>COUNTIFS(bleach_treatment!M2:M124,"&gt;0",bleach_treatment!AA2:AA124,1)</f>
        <v>8</v>
      </c>
      <c r="Q8" s="18">
        <f>SUM(N8:P8)</f>
        <v>53</v>
      </c>
    </row>
    <row r="9" spans="2:17" x14ac:dyDescent="0.35">
      <c r="B9" s="6" t="s">
        <v>251</v>
      </c>
      <c r="C9" s="18">
        <f>COUNTIFS(bleach_treatment!V2:V124,0,bleach_treatment!AA2:AA124,0)</f>
        <v>37</v>
      </c>
      <c r="D9" s="18">
        <f>COUNTIFS(bleach_treatment!V2:V124,"&lt;0",bleach_treatment!AA2:AA124,0)</f>
        <v>17</v>
      </c>
      <c r="E9" s="18">
        <f>COUNTIFS(bleach_treatment!V2:V124,"&gt;0",bleach_treatment!AA2:AA124,0)</f>
        <v>16</v>
      </c>
      <c r="F9" s="18">
        <f t="shared" ref="F9:F10" si="0">SUM(C9:E9)</f>
        <v>70</v>
      </c>
      <c r="G9" s="18">
        <f>COUNTIFS(bleach_treatment!Y2:Y124,0,bleach_treatment!AA2:AA124,0)</f>
        <v>59</v>
      </c>
      <c r="H9" s="18">
        <f>COUNTIFS(bleach_treatment!Y2:Y124,"&lt;0",bleach_treatment!AA2:AA124,0)</f>
        <v>5</v>
      </c>
      <c r="I9" s="18">
        <f>COUNTIFS(bleach_treatment!Y2:Y124,"&gt;0",bleach_treatment!AA2:AA124,0)</f>
        <v>6</v>
      </c>
      <c r="J9" s="18">
        <f t="shared" ref="J9:J10" si="1">SUM(G9:I9)</f>
        <v>70</v>
      </c>
      <c r="K9" s="18">
        <f>COUNTIFS(bleach_treatment!P2:P124,"&gt;=0",bleach_treatment!AA2:AA124,0)</f>
        <v>38</v>
      </c>
      <c r="L9" s="18">
        <f>COUNTIFS(bleach_treatment!P2:P124,"&lt;0",bleach_treatment!AA2:AA124,0)</f>
        <v>32</v>
      </c>
      <c r="M9" s="18">
        <f>SUM(K9:L9)</f>
        <v>70</v>
      </c>
      <c r="N9" s="18">
        <f>COUNTIFS(bleach_treatment!M2:M124,0,bleach_treatment!AA2:AA124,0)</f>
        <v>49</v>
      </c>
      <c r="O9" s="18">
        <f>COUNTIFS(bleach_treatment!M2:M124,"&lt;0",bleach_treatment!AA2:AA124,0)</f>
        <v>13</v>
      </c>
      <c r="P9" s="18">
        <f>COUNTIFS(bleach_treatment!M2:M124,"&gt;0",bleach_treatment!AA2:AA124,0)</f>
        <v>8</v>
      </c>
      <c r="Q9" s="18">
        <f t="shared" ref="Q9:Q10" si="2">SUM(N9:P9)</f>
        <v>70</v>
      </c>
    </row>
    <row r="10" spans="2:17" x14ac:dyDescent="0.35">
      <c r="B10" s="3" t="s">
        <v>180</v>
      </c>
      <c r="C10" s="18">
        <f>SUM(C8:C9)</f>
        <v>66</v>
      </c>
      <c r="D10" s="18">
        <f t="shared" ref="D10:E10" si="3">SUM(D8:D9)</f>
        <v>25</v>
      </c>
      <c r="E10" s="18">
        <f t="shared" si="3"/>
        <v>31</v>
      </c>
      <c r="F10" s="18">
        <f t="shared" si="0"/>
        <v>122</v>
      </c>
      <c r="G10" s="22">
        <f>SUM(G8:G9)</f>
        <v>99</v>
      </c>
      <c r="H10" s="22">
        <f t="shared" ref="H10:I10" si="4">SUM(H8:H9)</f>
        <v>10</v>
      </c>
      <c r="I10" s="22">
        <f t="shared" si="4"/>
        <v>12</v>
      </c>
      <c r="J10" s="18">
        <f t="shared" si="1"/>
        <v>121</v>
      </c>
      <c r="K10" s="22">
        <f>SUM(K8:K9)</f>
        <v>65</v>
      </c>
      <c r="L10" s="22">
        <f t="shared" ref="L10" si="5">SUM(L8:L9)</f>
        <v>58</v>
      </c>
      <c r="M10" s="18">
        <f>SUM(K10:L10)</f>
        <v>123</v>
      </c>
      <c r="N10" s="22">
        <f>SUM(N8:N9)</f>
        <v>89</v>
      </c>
      <c r="O10" s="22">
        <f t="shared" ref="O10:P10" si="6">SUM(O8:O9)</f>
        <v>18</v>
      </c>
      <c r="P10" s="22">
        <f t="shared" si="6"/>
        <v>16</v>
      </c>
      <c r="Q10" s="18">
        <f t="shared" si="2"/>
        <v>123</v>
      </c>
    </row>
    <row r="12" spans="2:17" x14ac:dyDescent="0.35">
      <c r="B12" s="3" t="s">
        <v>188</v>
      </c>
    </row>
    <row r="13" spans="2:17" x14ac:dyDescent="0.35">
      <c r="C13" s="48" t="s">
        <v>71</v>
      </c>
      <c r="D13" s="48"/>
      <c r="E13" s="33"/>
      <c r="F13" s="33"/>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250</v>
      </c>
      <c r="C15" s="23">
        <f>C8/$F8</f>
        <v>0.55769230769230771</v>
      </c>
      <c r="D15" s="23">
        <f t="shared" ref="D15:F15" si="7">D8/$F8</f>
        <v>0.15384615384615385</v>
      </c>
      <c r="E15" s="23">
        <f t="shared" si="7"/>
        <v>0.28846153846153844</v>
      </c>
      <c r="F15" s="23">
        <f t="shared" si="7"/>
        <v>1</v>
      </c>
      <c r="G15" s="23">
        <f>G8/$J8</f>
        <v>0.78431372549019607</v>
      </c>
      <c r="H15" s="23">
        <f t="shared" ref="H15:J15" si="8">H8/$J8</f>
        <v>9.8039215686274508E-2</v>
      </c>
      <c r="I15" s="23">
        <f t="shared" si="8"/>
        <v>0.11764705882352941</v>
      </c>
      <c r="J15" s="23">
        <f t="shared" si="8"/>
        <v>1</v>
      </c>
      <c r="K15" s="23">
        <f t="shared" ref="K15:M17" si="9">K8/$M8</f>
        <v>0.50943396226415094</v>
      </c>
      <c r="L15" s="23">
        <f t="shared" si="9"/>
        <v>0.49056603773584906</v>
      </c>
      <c r="M15" s="23">
        <f t="shared" si="9"/>
        <v>1</v>
      </c>
      <c r="N15" s="23">
        <f>N8/$Q8</f>
        <v>0.75471698113207553</v>
      </c>
      <c r="O15" s="23">
        <f t="shared" ref="O15:Q15" si="10">O8/$Q8</f>
        <v>9.4339622641509441E-2</v>
      </c>
      <c r="P15" s="23">
        <f t="shared" si="10"/>
        <v>0.15094339622641509</v>
      </c>
      <c r="Q15" s="23">
        <f t="shared" si="10"/>
        <v>1</v>
      </c>
    </row>
    <row r="16" spans="2:17" x14ac:dyDescent="0.35">
      <c r="B16" s="6" t="s">
        <v>251</v>
      </c>
      <c r="C16" s="23">
        <f t="shared" ref="C16:F16" si="11">C9/$F9</f>
        <v>0.52857142857142858</v>
      </c>
      <c r="D16" s="23">
        <f t="shared" si="11"/>
        <v>0.24285714285714285</v>
      </c>
      <c r="E16" s="23">
        <f t="shared" si="11"/>
        <v>0.22857142857142856</v>
      </c>
      <c r="F16" s="23">
        <f t="shared" si="11"/>
        <v>1</v>
      </c>
      <c r="G16" s="23">
        <f t="shared" ref="G16:J17" si="12">G9/$J9</f>
        <v>0.84285714285714286</v>
      </c>
      <c r="H16" s="23">
        <f t="shared" si="12"/>
        <v>7.1428571428571425E-2</v>
      </c>
      <c r="I16" s="23">
        <f t="shared" si="12"/>
        <v>8.5714285714285715E-2</v>
      </c>
      <c r="J16" s="23">
        <f t="shared" si="12"/>
        <v>1</v>
      </c>
      <c r="K16" s="23">
        <f t="shared" si="9"/>
        <v>0.54285714285714282</v>
      </c>
      <c r="L16" s="23">
        <f t="shared" si="9"/>
        <v>0.45714285714285713</v>
      </c>
      <c r="M16" s="23">
        <f t="shared" si="9"/>
        <v>1</v>
      </c>
      <c r="N16" s="23">
        <f t="shared" ref="N16:Q17" si="13">N9/$Q9</f>
        <v>0.7</v>
      </c>
      <c r="O16" s="23">
        <f t="shared" si="13"/>
        <v>0.18571428571428572</v>
      </c>
      <c r="P16" s="23">
        <f t="shared" si="13"/>
        <v>0.11428571428571428</v>
      </c>
      <c r="Q16" s="23">
        <f t="shared" si="13"/>
        <v>1</v>
      </c>
    </row>
    <row r="17" spans="2:17" x14ac:dyDescent="0.35">
      <c r="B17" s="3" t="s">
        <v>180</v>
      </c>
      <c r="C17" s="23">
        <f t="shared" ref="C17:F17" si="14">C10/$F10</f>
        <v>0.54098360655737709</v>
      </c>
      <c r="D17" s="23">
        <f t="shared" si="14"/>
        <v>0.20491803278688525</v>
      </c>
      <c r="E17" s="23">
        <f t="shared" si="14"/>
        <v>0.25409836065573771</v>
      </c>
      <c r="F17" s="23">
        <f t="shared" si="14"/>
        <v>1</v>
      </c>
      <c r="G17" s="23">
        <f t="shared" si="12"/>
        <v>0.81818181818181823</v>
      </c>
      <c r="H17" s="23">
        <f t="shared" si="12"/>
        <v>8.2644628099173556E-2</v>
      </c>
      <c r="I17" s="23">
        <f t="shared" si="12"/>
        <v>9.9173553719008267E-2</v>
      </c>
      <c r="J17" s="23">
        <f t="shared" si="12"/>
        <v>1</v>
      </c>
      <c r="K17" s="23">
        <f t="shared" si="9"/>
        <v>0.52845528455284552</v>
      </c>
      <c r="L17" s="23">
        <f t="shared" si="9"/>
        <v>0.47154471544715448</v>
      </c>
      <c r="M17" s="23">
        <f t="shared" si="9"/>
        <v>1</v>
      </c>
      <c r="N17" s="23">
        <f t="shared" si="13"/>
        <v>0.72357723577235777</v>
      </c>
      <c r="O17" s="23">
        <f t="shared" si="13"/>
        <v>0.14634146341463414</v>
      </c>
      <c r="P17" s="23">
        <f t="shared" si="13"/>
        <v>0.13008130081300814</v>
      </c>
      <c r="Q17" s="23">
        <f t="shared" si="13"/>
        <v>1</v>
      </c>
    </row>
    <row r="19" spans="2:17" x14ac:dyDescent="0.35">
      <c r="B19" s="3" t="s">
        <v>181</v>
      </c>
    </row>
    <row r="20" spans="2:17" x14ac:dyDescent="0.35">
      <c r="C20" s="48" t="s">
        <v>71</v>
      </c>
      <c r="D20" s="48"/>
      <c r="E20" s="33"/>
      <c r="F20" s="33"/>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250</v>
      </c>
      <c r="C22" s="19">
        <f t="shared" ref="C22" si="15">($F8*C$10)/$F$10</f>
        <v>28.131147540983605</v>
      </c>
      <c r="D22" s="19">
        <f t="shared" ref="D22:F22" si="16">($F8*D$10)/$F$10</f>
        <v>10.655737704918034</v>
      </c>
      <c r="E22" s="19">
        <f t="shared" si="16"/>
        <v>13.21311475409836</v>
      </c>
      <c r="F22" s="19">
        <f t="shared" si="16"/>
        <v>52</v>
      </c>
      <c r="G22" s="19">
        <f>($J8*G$10)/$J$10</f>
        <v>41.727272727272727</v>
      </c>
      <c r="H22" s="19">
        <f t="shared" ref="H22:J22" si="17">($J8*H$10)/$J$10</f>
        <v>4.214876033057851</v>
      </c>
      <c r="I22" s="19">
        <f t="shared" si="17"/>
        <v>5.0578512396694215</v>
      </c>
      <c r="J22" s="19">
        <f t="shared" si="17"/>
        <v>51</v>
      </c>
      <c r="K22" s="19">
        <f t="shared" ref="K22:M24" si="18">($M8*K$10)/$M$10</f>
        <v>28.008130081300813</v>
      </c>
      <c r="L22" s="19">
        <f t="shared" si="18"/>
        <v>24.991869918699187</v>
      </c>
      <c r="M22" s="19">
        <f t="shared" si="18"/>
        <v>53</v>
      </c>
      <c r="N22" s="19">
        <f>($Q8*N$10)/$Q$10</f>
        <v>38.349593495934961</v>
      </c>
      <c r="O22" s="19">
        <f t="shared" ref="O22:Q22" si="19">($Q8*O$10)/$Q$10</f>
        <v>7.7560975609756095</v>
      </c>
      <c r="P22" s="19">
        <f t="shared" si="19"/>
        <v>6.8943089430894311</v>
      </c>
      <c r="Q22" s="19">
        <f t="shared" si="19"/>
        <v>53</v>
      </c>
    </row>
    <row r="23" spans="2:17" x14ac:dyDescent="0.35">
      <c r="B23" s="6" t="s">
        <v>251</v>
      </c>
      <c r="C23" s="19">
        <f t="shared" ref="C23:F23" si="20">($F9*C$10)/$F$10</f>
        <v>37.868852459016395</v>
      </c>
      <c r="D23" s="19">
        <f t="shared" si="20"/>
        <v>14.344262295081966</v>
      </c>
      <c r="E23" s="19">
        <f t="shared" si="20"/>
        <v>17.78688524590164</v>
      </c>
      <c r="F23" s="19">
        <f t="shared" si="20"/>
        <v>70</v>
      </c>
      <c r="G23" s="19">
        <f t="shared" ref="G23:J24" si="21">($J9*G$10)/$J$10</f>
        <v>57.272727272727273</v>
      </c>
      <c r="H23" s="19">
        <f t="shared" si="21"/>
        <v>5.785123966942149</v>
      </c>
      <c r="I23" s="19">
        <f t="shared" si="21"/>
        <v>6.9421487603305785</v>
      </c>
      <c r="J23" s="19">
        <f t="shared" si="21"/>
        <v>70</v>
      </c>
      <c r="K23" s="19">
        <f t="shared" si="18"/>
        <v>36.991869918699187</v>
      </c>
      <c r="L23" s="19">
        <f t="shared" si="18"/>
        <v>33.008130081300813</v>
      </c>
      <c r="M23" s="19">
        <f t="shared" si="18"/>
        <v>70</v>
      </c>
      <c r="N23" s="19">
        <f t="shared" ref="N23:Q24" si="22">($Q9*N$10)/$Q$10</f>
        <v>50.650406504065039</v>
      </c>
      <c r="O23" s="19">
        <f t="shared" si="22"/>
        <v>10.24390243902439</v>
      </c>
      <c r="P23" s="19">
        <f t="shared" si="22"/>
        <v>9.1056910569105689</v>
      </c>
      <c r="Q23" s="19">
        <f t="shared" si="22"/>
        <v>70</v>
      </c>
    </row>
    <row r="24" spans="2:17" x14ac:dyDescent="0.35">
      <c r="B24" s="3" t="s">
        <v>180</v>
      </c>
      <c r="C24" s="19">
        <f t="shared" ref="C24:F24" si="23">($F10*C$10)/$F$10</f>
        <v>66</v>
      </c>
      <c r="D24" s="19">
        <f t="shared" si="23"/>
        <v>25</v>
      </c>
      <c r="E24" s="19">
        <f t="shared" si="23"/>
        <v>31</v>
      </c>
      <c r="F24" s="19">
        <f t="shared" si="23"/>
        <v>122</v>
      </c>
      <c r="G24" s="19">
        <f t="shared" si="21"/>
        <v>99</v>
      </c>
      <c r="H24" s="19">
        <f t="shared" si="21"/>
        <v>10</v>
      </c>
      <c r="I24" s="19">
        <f t="shared" si="21"/>
        <v>12</v>
      </c>
      <c r="J24" s="19">
        <f t="shared" si="21"/>
        <v>121</v>
      </c>
      <c r="K24" s="19">
        <f t="shared" si="18"/>
        <v>65</v>
      </c>
      <c r="L24" s="19">
        <f t="shared" si="18"/>
        <v>58</v>
      </c>
      <c r="M24" s="19">
        <f t="shared" si="18"/>
        <v>123</v>
      </c>
      <c r="N24" s="19">
        <f t="shared" si="22"/>
        <v>89</v>
      </c>
      <c r="O24" s="19">
        <f t="shared" si="22"/>
        <v>18</v>
      </c>
      <c r="P24" s="19">
        <f t="shared" si="22"/>
        <v>16</v>
      </c>
      <c r="Q24" s="19">
        <f t="shared" si="22"/>
        <v>123</v>
      </c>
    </row>
    <row r="26" spans="2:17" x14ac:dyDescent="0.35">
      <c r="B26" s="3" t="s">
        <v>182</v>
      </c>
    </row>
    <row r="27" spans="2:17" x14ac:dyDescent="0.35">
      <c r="C27" s="48" t="s">
        <v>71</v>
      </c>
      <c r="D27" s="48"/>
      <c r="E27" s="33"/>
      <c r="F27" s="33"/>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250</v>
      </c>
      <c r="C29" s="29">
        <f t="shared" ref="C29:C30" si="24">(C8-C22)^2/C22</f>
        <v>2.6835186671252346E-2</v>
      </c>
      <c r="D29" s="29">
        <f t="shared" ref="D29:E29" si="25">(D8-D22)^2/D22</f>
        <v>0.66189155107187925</v>
      </c>
      <c r="E29" s="29">
        <f t="shared" si="25"/>
        <v>0.24165073424724429</v>
      </c>
      <c r="F29" s="29"/>
      <c r="G29" s="29">
        <f>(G8-G22)^2/G22</f>
        <v>7.1499306793424394E-2</v>
      </c>
      <c r="H29" s="29">
        <f t="shared" ref="H29:I29" si="26">(H8-H22)^2/H22</f>
        <v>0.14624858207745919</v>
      </c>
      <c r="I29" s="29">
        <f t="shared" si="26"/>
        <v>0.17549829849295087</v>
      </c>
      <c r="J29" s="29"/>
      <c r="K29" s="29">
        <f>(K8-K22)^2/K22</f>
        <v>3.6286830212278881E-2</v>
      </c>
      <c r="L29" s="29">
        <f t="shared" ref="L29" si="27">(L8-L22)^2/L22</f>
        <v>4.0666275237898744E-2</v>
      </c>
      <c r="M29" s="29"/>
      <c r="N29" s="29">
        <f>(N8-N22)^2/N22</f>
        <v>7.102661020250213E-2</v>
      </c>
      <c r="O29" s="29">
        <f t="shared" ref="O29:P29" si="28">(O8-O22)^2/O22</f>
        <v>0.97936800122718193</v>
      </c>
      <c r="P29" s="29">
        <f t="shared" si="28"/>
        <v>0.17732781101395911</v>
      </c>
      <c r="Q29" s="21"/>
    </row>
    <row r="30" spans="2:17" x14ac:dyDescent="0.35">
      <c r="B30" s="6" t="s">
        <v>251</v>
      </c>
      <c r="C30" s="29">
        <f t="shared" si="24"/>
        <v>1.9934710098644597E-2</v>
      </c>
      <c r="D30" s="29">
        <f t="shared" ref="D30:E30" si="29">(D9-D23)^2/D23</f>
        <v>0.49169086651053895</v>
      </c>
      <c r="E30" s="29">
        <f t="shared" si="29"/>
        <v>0.17951197401223859</v>
      </c>
      <c r="F30" s="29"/>
      <c r="G30" s="29">
        <f>(G9-G23)^2/G23</f>
        <v>5.2092352092352051E-2</v>
      </c>
      <c r="H30" s="29">
        <f t="shared" ref="H30:I30" si="30">(H9-H23)^2/H23</f>
        <v>0.10655253837072026</v>
      </c>
      <c r="I30" s="29">
        <f t="shared" si="30"/>
        <v>0.1278630460448642</v>
      </c>
      <c r="J30" s="29"/>
      <c r="K30" s="29">
        <f>(K9-K23)^2/K23</f>
        <v>2.7474314303582579E-2</v>
      </c>
      <c r="L30" s="29">
        <f t="shared" ref="L30" si="31">(L9-L23)^2/L23</f>
        <v>3.0790179822980476E-2</v>
      </c>
      <c r="M30" s="29"/>
      <c r="N30" s="29">
        <f>(N9-N23)^2/N23</f>
        <v>5.3777290581894469E-2</v>
      </c>
      <c r="O30" s="29">
        <f t="shared" ref="O30:P30" si="32">(O9-O23)^2/O23</f>
        <v>0.74152148664343775</v>
      </c>
      <c r="P30" s="29">
        <f t="shared" si="32"/>
        <v>0.13426248548199762</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2:14" x14ac:dyDescent="0.35">
      <c r="B33" s="3" t="s">
        <v>183</v>
      </c>
      <c r="D33" s="13">
        <f>C29+C30+D29+D30+E29+E30</f>
        <v>1.621515022611798</v>
      </c>
      <c r="E33" s="13"/>
      <c r="F33" s="13"/>
      <c r="G33" s="13">
        <f>G29+H29+G30+H30+I29+I30</f>
        <v>0.67975412387177103</v>
      </c>
      <c r="H33" s="13"/>
      <c r="I33" s="13"/>
      <c r="J33" s="13"/>
      <c r="K33" s="13">
        <f>K29+L29+K30+L30</f>
        <v>0.13521759957674068</v>
      </c>
      <c r="L33" s="13"/>
      <c r="M33" s="13"/>
      <c r="N33" s="13">
        <f>N29+O29+N30+O30+P29+P30</f>
        <v>2.1572836851509734</v>
      </c>
    </row>
    <row r="34" spans="2:14" x14ac:dyDescent="0.35">
      <c r="B34" s="3" t="s">
        <v>184</v>
      </c>
      <c r="D34" s="24">
        <f>_xlfn.CHISQ.DIST.RT(D33,D32)</f>
        <v>0.44452120881101392</v>
      </c>
      <c r="E34" s="32"/>
      <c r="G34" s="24">
        <f>_xlfn.CHISQ.DIST.RT(G33,G32)</f>
        <v>0.71185783180717033</v>
      </c>
      <c r="K34" s="24">
        <f>_xlfn.CHISQ.DIST.RT(K33,K32)</f>
        <v>0.71308243042657615</v>
      </c>
      <c r="N34" s="24">
        <f>_xlfn.CHISQ.DIST.RT(N33,N32)</f>
        <v>0.34005706317879381</v>
      </c>
    </row>
  </sheetData>
  <mergeCells count="16">
    <mergeCell ref="C6:D6"/>
    <mergeCell ref="G6:J6"/>
    <mergeCell ref="K6:M6"/>
    <mergeCell ref="N6:Q6"/>
    <mergeCell ref="C13:D13"/>
    <mergeCell ref="G13:J13"/>
    <mergeCell ref="K13:M13"/>
    <mergeCell ref="N13:Q13"/>
    <mergeCell ref="C20:D20"/>
    <mergeCell ref="G20:J20"/>
    <mergeCell ref="K20:M20"/>
    <mergeCell ref="N20:Q20"/>
    <mergeCell ref="C27:D27"/>
    <mergeCell ref="G27:J27"/>
    <mergeCell ref="K27:M27"/>
    <mergeCell ref="N27:Q27"/>
  </mergeCells>
  <pageMargins left="0.7" right="0.7" top="0.75" bottom="0.75" header="0.3" footer="0.3"/>
  <pageSetup paperSize="9"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34"/>
  <sheetViews>
    <sheetView topLeftCell="A4" workbookViewId="0">
      <selection activeCell="N34" sqref="N34"/>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3"/>
      <c r="F6" s="33"/>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252</v>
      </c>
      <c r="C8" s="18">
        <f>COUNTIFS(bleach_treatment!V2:V124,0,bleach_treatment!AB2:AB124,1)</f>
        <v>18</v>
      </c>
      <c r="D8" s="18">
        <f>COUNTIFS(bleach_treatment!V2:V124,"&lt;0",bleach_treatment!AB2:AB124,1)</f>
        <v>5</v>
      </c>
      <c r="E8" s="18">
        <f>COUNTIFS(bleach_treatment!V2:V124,"&gt;0",bleach_treatment!AB2:AB124,1)</f>
        <v>6</v>
      </c>
      <c r="F8" s="18">
        <f>SUM(C8:E8)</f>
        <v>29</v>
      </c>
      <c r="G8" s="18">
        <f>COUNTIFS(bleach_treatment!Y2:Y124,0,bleach_treatment!AB2:AB124,1)</f>
        <v>22</v>
      </c>
      <c r="H8" s="18">
        <f>COUNTIFS(bleach_treatment!Y2:Y124,"&lt;0",bleach_treatment!AB2:AB124,1)</f>
        <v>2</v>
      </c>
      <c r="I8" s="18">
        <f>COUNTIFS(bleach_treatment!Y2:Y124,"&gt;0",bleach_treatment!AB2:AB124,1)</f>
        <v>5</v>
      </c>
      <c r="J8" s="18">
        <f>SUM(G8:I8)</f>
        <v>29</v>
      </c>
      <c r="K8" s="18">
        <f>COUNTIFS(bleach_treatment!P2:P124,"&gt;=0",bleach_treatment!AB2:AB124,1)</f>
        <v>15</v>
      </c>
      <c r="L8" s="18">
        <f>COUNTIFS(bleach_treatment!P2:P124,"&lt;0",bleach_treatment!AB2:AB124,1)</f>
        <v>15</v>
      </c>
      <c r="M8" s="18">
        <f>SUM(K8:L8)</f>
        <v>30</v>
      </c>
      <c r="N8" s="18">
        <f>COUNTIFS(bleach_treatment!M2:M124,0,bleach_treatment!AB2:AB124,1)</f>
        <v>25</v>
      </c>
      <c r="O8" s="18">
        <f>COUNTIFS(bleach_treatment!M2:M124,"&lt;0",bleach_treatment!AB2:AB124,1)</f>
        <v>3</v>
      </c>
      <c r="P8" s="18">
        <f>COUNTIFS(bleach_treatment!M2:M124,"&gt;0",bleach_treatment!AB2:AB124,1)</f>
        <v>2</v>
      </c>
      <c r="Q8" s="18">
        <f>SUM(N8:P8)</f>
        <v>30</v>
      </c>
    </row>
    <row r="9" spans="2:17" x14ac:dyDescent="0.35">
      <c r="B9" s="6" t="s">
        <v>253</v>
      </c>
      <c r="C9" s="18">
        <f>COUNTIFS(bleach_treatment!V2:V124,0,bleach_treatment!AB2:AB124,0)</f>
        <v>48</v>
      </c>
      <c r="D9" s="18">
        <f>COUNTIFS(bleach_treatment!V2:V124,"&lt;0",bleach_treatment!AB2:AB124,0)</f>
        <v>20</v>
      </c>
      <c r="E9" s="18">
        <f>COUNTIFS(bleach_treatment!V2:V124,"&gt;0",bleach_treatment!AB2:AB124,0)</f>
        <v>25</v>
      </c>
      <c r="F9" s="18">
        <f t="shared" ref="F9" si="0">SUM(C9:E9)</f>
        <v>93</v>
      </c>
      <c r="G9" s="18">
        <f>COUNTIFS(bleach_treatment!Y2:Y124,0,bleach_treatment!AB2:AB124,0)</f>
        <v>77</v>
      </c>
      <c r="H9" s="18">
        <f>COUNTIFS(bleach_treatment!Y2:Y124,"&lt;0",bleach_treatment!AB2:AB124,0)</f>
        <v>8</v>
      </c>
      <c r="I9" s="18">
        <f>COUNTIFS(bleach_treatment!Y2:Y124,"&gt;0",bleach_treatment!AB2:AB124,0)</f>
        <v>7</v>
      </c>
      <c r="J9" s="18">
        <f t="shared" ref="J9" si="1">SUM(G9:I9)</f>
        <v>92</v>
      </c>
      <c r="K9" s="18">
        <f>COUNTIFS(bleach_treatment!P2:P124,"&gt;=0",bleach_treatment!AB2:AB124,0)</f>
        <v>50</v>
      </c>
      <c r="L9" s="18">
        <f>COUNTIFS(bleach_treatment!P2:P124,"&lt;0",bleach_treatment!AB2:AB124,0)</f>
        <v>43</v>
      </c>
      <c r="M9" s="18">
        <f>SUM(K9:L9)</f>
        <v>93</v>
      </c>
      <c r="N9" s="18">
        <f>COUNTIFS(bleach_treatment!M2:M124,0,bleach_treatment!AB2:AB124,0)</f>
        <v>64</v>
      </c>
      <c r="O9" s="18">
        <f>COUNTIFS(bleach_treatment!M2:M124,"&lt;0",bleach_treatment!AB2:AB124,0)</f>
        <v>15</v>
      </c>
      <c r="P9" s="18">
        <f>COUNTIFS(bleach_treatment!M2:M124,"&gt;0",bleach_treatment!AB2:AB124,0)</f>
        <v>14</v>
      </c>
      <c r="Q9" s="18">
        <f t="shared" ref="Q9:Q10" si="2">SUM(N9:P9)</f>
        <v>93</v>
      </c>
    </row>
    <row r="10" spans="2:17" x14ac:dyDescent="0.35">
      <c r="B10" s="3" t="s">
        <v>180</v>
      </c>
      <c r="C10" s="18">
        <f>SUM(C8:C9)</f>
        <v>66</v>
      </c>
      <c r="D10" s="18">
        <f t="shared" ref="D10:F10" si="3">SUM(D8:D9)</f>
        <v>25</v>
      </c>
      <c r="E10" s="18">
        <f t="shared" si="3"/>
        <v>31</v>
      </c>
      <c r="F10" s="18">
        <f t="shared" si="3"/>
        <v>122</v>
      </c>
      <c r="G10" s="22">
        <f>SUM(G8:G9)</f>
        <v>99</v>
      </c>
      <c r="H10" s="22">
        <f t="shared" ref="H10:I10" si="4">SUM(H8:H9)</f>
        <v>10</v>
      </c>
      <c r="I10" s="22">
        <f t="shared" si="4"/>
        <v>12</v>
      </c>
      <c r="J10" s="22">
        <f>SUM(J8:J9)</f>
        <v>121</v>
      </c>
      <c r="K10" s="22">
        <f>SUM(K8:K9)</f>
        <v>65</v>
      </c>
      <c r="L10" s="22">
        <f t="shared" ref="L10:M10" si="5">SUM(L8:L9)</f>
        <v>58</v>
      </c>
      <c r="M10" s="22">
        <f t="shared" si="5"/>
        <v>123</v>
      </c>
      <c r="N10" s="22">
        <f>SUM(N8:N9)</f>
        <v>89</v>
      </c>
      <c r="O10" s="22">
        <f t="shared" ref="O10:P10" si="6">SUM(O8:O9)</f>
        <v>18</v>
      </c>
      <c r="P10" s="22">
        <f t="shared" si="6"/>
        <v>16</v>
      </c>
      <c r="Q10" s="18">
        <f t="shared" si="2"/>
        <v>123</v>
      </c>
    </row>
    <row r="12" spans="2:17" x14ac:dyDescent="0.35">
      <c r="B12" s="3" t="s">
        <v>188</v>
      </c>
    </row>
    <row r="13" spans="2:17" x14ac:dyDescent="0.35">
      <c r="C13" s="48" t="s">
        <v>71</v>
      </c>
      <c r="D13" s="48"/>
      <c r="E13" s="33"/>
      <c r="F13" s="33"/>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252</v>
      </c>
      <c r="C15" s="23">
        <f t="shared" ref="C15" si="7">C8/$F8</f>
        <v>0.62068965517241381</v>
      </c>
      <c r="D15" s="23">
        <f t="shared" ref="D15:F15" si="8">D8/$F8</f>
        <v>0.17241379310344829</v>
      </c>
      <c r="E15" s="23">
        <f t="shared" si="8"/>
        <v>0.20689655172413793</v>
      </c>
      <c r="F15" s="23">
        <f t="shared" si="8"/>
        <v>1</v>
      </c>
      <c r="G15" s="23">
        <f t="shared" ref="G15" si="9">G8/$J8</f>
        <v>0.75862068965517238</v>
      </c>
      <c r="H15" s="23">
        <f t="shared" ref="H15:J15" si="10">H8/$J8</f>
        <v>6.8965517241379309E-2</v>
      </c>
      <c r="I15" s="23">
        <f t="shared" si="10"/>
        <v>0.17241379310344829</v>
      </c>
      <c r="J15" s="23">
        <f t="shared" si="10"/>
        <v>1</v>
      </c>
      <c r="K15" s="23">
        <f t="shared" ref="K15:M17" si="11">K8/$M8</f>
        <v>0.5</v>
      </c>
      <c r="L15" s="23">
        <f t="shared" si="11"/>
        <v>0.5</v>
      </c>
      <c r="M15" s="23">
        <f t="shared" si="11"/>
        <v>1</v>
      </c>
      <c r="N15" s="23">
        <f t="shared" ref="N15" si="12">N8/$Q8</f>
        <v>0.83333333333333337</v>
      </c>
      <c r="O15" s="23">
        <f t="shared" ref="O15:Q15" si="13">O8/$Q8</f>
        <v>0.1</v>
      </c>
      <c r="P15" s="23">
        <f t="shared" si="13"/>
        <v>6.6666666666666666E-2</v>
      </c>
      <c r="Q15" s="23">
        <f t="shared" si="13"/>
        <v>1</v>
      </c>
    </row>
    <row r="16" spans="2:17" x14ac:dyDescent="0.35">
      <c r="B16" s="6" t="s">
        <v>253</v>
      </c>
      <c r="C16" s="23">
        <f t="shared" ref="C16:F16" si="14">C9/$F9</f>
        <v>0.5161290322580645</v>
      </c>
      <c r="D16" s="23">
        <f t="shared" si="14"/>
        <v>0.21505376344086022</v>
      </c>
      <c r="E16" s="23">
        <f t="shared" si="14"/>
        <v>0.26881720430107525</v>
      </c>
      <c r="F16" s="23">
        <f t="shared" si="14"/>
        <v>1</v>
      </c>
      <c r="G16" s="23">
        <f t="shared" ref="G16:J16" si="15">G9/$J9</f>
        <v>0.83695652173913049</v>
      </c>
      <c r="H16" s="23">
        <f t="shared" si="15"/>
        <v>8.6956521739130432E-2</v>
      </c>
      <c r="I16" s="23">
        <f t="shared" si="15"/>
        <v>7.6086956521739135E-2</v>
      </c>
      <c r="J16" s="23">
        <f t="shared" si="15"/>
        <v>1</v>
      </c>
      <c r="K16" s="23">
        <f t="shared" si="11"/>
        <v>0.5376344086021505</v>
      </c>
      <c r="L16" s="23">
        <f t="shared" si="11"/>
        <v>0.46236559139784944</v>
      </c>
      <c r="M16" s="23">
        <f t="shared" si="11"/>
        <v>1</v>
      </c>
      <c r="N16" s="23">
        <f t="shared" ref="N16:Q16" si="16">N9/$Q9</f>
        <v>0.68817204301075274</v>
      </c>
      <c r="O16" s="23">
        <f t="shared" si="16"/>
        <v>0.16129032258064516</v>
      </c>
      <c r="P16" s="23">
        <f t="shared" si="16"/>
        <v>0.15053763440860216</v>
      </c>
      <c r="Q16" s="23">
        <f t="shared" si="16"/>
        <v>1</v>
      </c>
    </row>
    <row r="17" spans="2:17" x14ac:dyDescent="0.35">
      <c r="B17" s="3" t="s">
        <v>180</v>
      </c>
      <c r="C17" s="23">
        <f t="shared" ref="C17:F17" si="17">C10/$F10</f>
        <v>0.54098360655737709</v>
      </c>
      <c r="D17" s="23">
        <f t="shared" si="17"/>
        <v>0.20491803278688525</v>
      </c>
      <c r="E17" s="23">
        <f t="shared" si="17"/>
        <v>0.25409836065573771</v>
      </c>
      <c r="F17" s="23">
        <f t="shared" si="17"/>
        <v>1</v>
      </c>
      <c r="G17" s="23">
        <f t="shared" ref="G17:J17" si="18">G10/$J10</f>
        <v>0.81818181818181823</v>
      </c>
      <c r="H17" s="23">
        <f t="shared" si="18"/>
        <v>8.2644628099173556E-2</v>
      </c>
      <c r="I17" s="23">
        <f t="shared" si="18"/>
        <v>9.9173553719008267E-2</v>
      </c>
      <c r="J17" s="23">
        <f t="shared" si="18"/>
        <v>1</v>
      </c>
      <c r="K17" s="23">
        <f t="shared" si="11"/>
        <v>0.52845528455284552</v>
      </c>
      <c r="L17" s="23">
        <f t="shared" si="11"/>
        <v>0.47154471544715448</v>
      </c>
      <c r="M17" s="23">
        <f t="shared" si="11"/>
        <v>1</v>
      </c>
      <c r="N17" s="23">
        <f t="shared" ref="N17:Q17" si="19">N10/$Q10</f>
        <v>0.72357723577235777</v>
      </c>
      <c r="O17" s="23">
        <f t="shared" si="19"/>
        <v>0.14634146341463414</v>
      </c>
      <c r="P17" s="23">
        <f t="shared" si="19"/>
        <v>0.13008130081300814</v>
      </c>
      <c r="Q17" s="23">
        <f t="shared" si="19"/>
        <v>1</v>
      </c>
    </row>
    <row r="19" spans="2:17" x14ac:dyDescent="0.35">
      <c r="B19" s="3" t="s">
        <v>181</v>
      </c>
    </row>
    <row r="20" spans="2:17" x14ac:dyDescent="0.35">
      <c r="C20" s="48" t="s">
        <v>71</v>
      </c>
      <c r="D20" s="48"/>
      <c r="E20" s="33"/>
      <c r="F20" s="33"/>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252</v>
      </c>
      <c r="C22" s="19">
        <f t="shared" ref="C22" si="20">($F8*C$10)/$F$10</f>
        <v>15.688524590163935</v>
      </c>
      <c r="D22" s="19">
        <f t="shared" ref="D22:F22" si="21">($F8*D$10)/$F$10</f>
        <v>5.942622950819672</v>
      </c>
      <c r="E22" s="19">
        <f t="shared" si="21"/>
        <v>7.3688524590163933</v>
      </c>
      <c r="F22" s="19">
        <f t="shared" si="21"/>
        <v>29</v>
      </c>
      <c r="G22" s="19">
        <f t="shared" ref="G22" si="22">($J8*G$10)/$J$10</f>
        <v>23.727272727272727</v>
      </c>
      <c r="H22" s="19">
        <f t="shared" ref="H22:J22" si="23">($J8*H$10)/$J$10</f>
        <v>2.3966942148760331</v>
      </c>
      <c r="I22" s="19">
        <f t="shared" si="23"/>
        <v>2.8760330578512399</v>
      </c>
      <c r="J22" s="19">
        <f t="shared" si="23"/>
        <v>29</v>
      </c>
      <c r="K22" s="19">
        <f t="shared" ref="K22:M24" si="24">($M8*K$10)/$M$10</f>
        <v>15.853658536585366</v>
      </c>
      <c r="L22" s="19">
        <f t="shared" si="24"/>
        <v>14.146341463414634</v>
      </c>
      <c r="M22" s="19">
        <f t="shared" si="24"/>
        <v>30</v>
      </c>
      <c r="N22" s="19">
        <f t="shared" ref="N22" si="25">($Q8*N$10)/$Q$10</f>
        <v>21.707317073170731</v>
      </c>
      <c r="O22" s="19">
        <f t="shared" ref="O22:Q22" si="26">($Q8*O$10)/$Q$10</f>
        <v>4.3902439024390247</v>
      </c>
      <c r="P22" s="19">
        <f t="shared" si="26"/>
        <v>3.9024390243902438</v>
      </c>
      <c r="Q22" s="19">
        <f t="shared" si="26"/>
        <v>30</v>
      </c>
    </row>
    <row r="23" spans="2:17" x14ac:dyDescent="0.35">
      <c r="B23" s="6" t="s">
        <v>253</v>
      </c>
      <c r="C23" s="19">
        <f t="shared" ref="C23:F23" si="27">($F9*C$10)/$F$10</f>
        <v>50.311475409836063</v>
      </c>
      <c r="D23" s="19">
        <f t="shared" si="27"/>
        <v>19.057377049180328</v>
      </c>
      <c r="E23" s="19">
        <f t="shared" si="27"/>
        <v>23.631147540983605</v>
      </c>
      <c r="F23" s="19">
        <f t="shared" si="27"/>
        <v>93</v>
      </c>
      <c r="G23" s="19">
        <f t="shared" ref="G23:J23" si="28">($J9*G$10)/$J$10</f>
        <v>75.272727272727266</v>
      </c>
      <c r="H23" s="19">
        <f t="shared" si="28"/>
        <v>7.6033057851239674</v>
      </c>
      <c r="I23" s="19">
        <f t="shared" si="28"/>
        <v>9.1239669421487601</v>
      </c>
      <c r="J23" s="19">
        <f t="shared" si="28"/>
        <v>92</v>
      </c>
      <c r="K23" s="19">
        <f t="shared" si="24"/>
        <v>49.146341463414636</v>
      </c>
      <c r="L23" s="19">
        <f t="shared" si="24"/>
        <v>43.853658536585364</v>
      </c>
      <c r="M23" s="19">
        <f t="shared" si="24"/>
        <v>93</v>
      </c>
      <c r="N23" s="19">
        <f t="shared" ref="N23:Q23" si="29">($Q9*N$10)/$Q$10</f>
        <v>67.292682926829272</v>
      </c>
      <c r="O23" s="19">
        <f t="shared" si="29"/>
        <v>13.609756097560975</v>
      </c>
      <c r="P23" s="19">
        <f t="shared" si="29"/>
        <v>12.097560975609756</v>
      </c>
      <c r="Q23" s="19">
        <f t="shared" si="29"/>
        <v>93</v>
      </c>
    </row>
    <row r="24" spans="2:17" x14ac:dyDescent="0.35">
      <c r="B24" s="3" t="s">
        <v>180</v>
      </c>
      <c r="C24" s="19">
        <f t="shared" ref="C24:F24" si="30">($F10*C$10)/$F$10</f>
        <v>66</v>
      </c>
      <c r="D24" s="19">
        <f t="shared" si="30"/>
        <v>25</v>
      </c>
      <c r="E24" s="19">
        <f t="shared" si="30"/>
        <v>31</v>
      </c>
      <c r="F24" s="19">
        <f t="shared" si="30"/>
        <v>122</v>
      </c>
      <c r="G24" s="19">
        <f t="shared" ref="G24:J24" si="31">($J10*G$10)/$J$10</f>
        <v>99</v>
      </c>
      <c r="H24" s="19">
        <f t="shared" si="31"/>
        <v>10</v>
      </c>
      <c r="I24" s="19">
        <f t="shared" si="31"/>
        <v>12</v>
      </c>
      <c r="J24" s="19">
        <f t="shared" si="31"/>
        <v>121</v>
      </c>
      <c r="K24" s="19">
        <f t="shared" si="24"/>
        <v>65</v>
      </c>
      <c r="L24" s="19">
        <f t="shared" si="24"/>
        <v>58</v>
      </c>
      <c r="M24" s="19">
        <f t="shared" si="24"/>
        <v>123</v>
      </c>
      <c r="N24" s="19">
        <f t="shared" ref="N24:Q24" si="32">($Q10*N$10)/$Q$10</f>
        <v>89</v>
      </c>
      <c r="O24" s="19">
        <f t="shared" si="32"/>
        <v>18</v>
      </c>
      <c r="P24" s="19">
        <f t="shared" si="32"/>
        <v>16</v>
      </c>
      <c r="Q24" s="19">
        <f t="shared" si="32"/>
        <v>123</v>
      </c>
    </row>
    <row r="26" spans="2:17" x14ac:dyDescent="0.35">
      <c r="B26" s="3" t="s">
        <v>182</v>
      </c>
    </row>
    <row r="27" spans="2:17" x14ac:dyDescent="0.35">
      <c r="C27" s="48" t="s">
        <v>71</v>
      </c>
      <c r="D27" s="48"/>
      <c r="E27" s="33"/>
      <c r="F27" s="33"/>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252</v>
      </c>
      <c r="C29" s="29">
        <f t="shared" ref="C29:C30" si="33">(C8-C22)^2/C22</f>
        <v>0.34056220771879325</v>
      </c>
      <c r="D29" s="29">
        <f t="shared" ref="D29:E29" si="34">(D8-D22)^2/D22</f>
        <v>0.14951950254381002</v>
      </c>
      <c r="E29" s="29">
        <f t="shared" si="34"/>
        <v>0.2542807126315213</v>
      </c>
      <c r="F29" s="29"/>
      <c r="G29" s="29">
        <f>(G8-G22)^2/G22</f>
        <v>0.12574016022291876</v>
      </c>
      <c r="H29" s="29">
        <f t="shared" ref="H29:I29" si="35">(H8-H22)^2/H22</f>
        <v>6.565973211741237E-2</v>
      </c>
      <c r="I29" s="29">
        <f t="shared" si="35"/>
        <v>1.5685617934834231</v>
      </c>
      <c r="J29" s="29"/>
      <c r="K29" s="29">
        <f>(K8-K22)^2/K22</f>
        <v>4.5966228893058146E-2</v>
      </c>
      <c r="L29" s="29">
        <f t="shared" ref="L29" si="36">(L8-L22)^2/L22</f>
        <v>5.1513877207737577E-2</v>
      </c>
      <c r="M29" s="29"/>
      <c r="N29" s="29">
        <f>(N8-N22)^2/N22</f>
        <v>0.49945190463140599</v>
      </c>
      <c r="O29" s="29">
        <f t="shared" ref="O29:P29" si="37">(O8-O22)^2/O22</f>
        <v>0.44024390243902461</v>
      </c>
      <c r="P29" s="29">
        <f t="shared" si="37"/>
        <v>0.92743902439024384</v>
      </c>
      <c r="Q29" s="21"/>
    </row>
    <row r="30" spans="2:17" x14ac:dyDescent="0.35">
      <c r="B30" s="6" t="s">
        <v>253</v>
      </c>
      <c r="C30" s="29">
        <f t="shared" si="33"/>
        <v>0.10619681746069881</v>
      </c>
      <c r="D30" s="29">
        <f t="shared" ref="D30:E30" si="38">(D9-D23)^2/D23</f>
        <v>4.6624361008284841E-2</v>
      </c>
      <c r="E30" s="29">
        <f t="shared" si="38"/>
        <v>7.9291835121657397E-2</v>
      </c>
      <c r="F30" s="29"/>
      <c r="G30" s="29">
        <f>(G9-G23)^2/G23</f>
        <v>3.9635485287659498E-2</v>
      </c>
      <c r="H30" s="29">
        <f t="shared" ref="H30:I30" si="39">(H9-H23)^2/H23</f>
        <v>2.0697089471792982E-2</v>
      </c>
      <c r="I30" s="29">
        <f t="shared" si="39"/>
        <v>0.49443795664151385</v>
      </c>
      <c r="J30" s="29"/>
      <c r="K30" s="29">
        <f>(K9-K23)^2/K23</f>
        <v>1.4827815771954179E-2</v>
      </c>
      <c r="L30" s="29">
        <f t="shared" ref="L30" si="40">(L9-L23)^2/L23</f>
        <v>1.661737974443141E-2</v>
      </c>
      <c r="M30" s="29"/>
      <c r="N30" s="29">
        <f>(N9-N23)^2/N23</f>
        <v>0.16111351762303452</v>
      </c>
      <c r="O30" s="29">
        <f t="shared" ref="O30:P30" si="41">(O9-O23)^2/O23</f>
        <v>0.14201416207710471</v>
      </c>
      <c r="P30" s="29">
        <f t="shared" si="41"/>
        <v>0.29917387883556251</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2:14" x14ac:dyDescent="0.35">
      <c r="B33" s="3" t="s">
        <v>183</v>
      </c>
      <c r="D33" s="13">
        <f>C29+C30+D29+D30+E29+E30</f>
        <v>0.97647543648476554</v>
      </c>
      <c r="E33" s="13"/>
      <c r="F33" s="13"/>
      <c r="G33" s="13">
        <f>G29+H29+G30+H30+I29+I30</f>
        <v>2.3147322172247207</v>
      </c>
      <c r="H33" s="13"/>
      <c r="I33" s="13"/>
      <c r="J33" s="13"/>
      <c r="K33" s="13">
        <f>K29+L29+K30+L30</f>
        <v>0.1289253016171813</v>
      </c>
      <c r="L33" s="13"/>
      <c r="M33" s="13"/>
      <c r="N33" s="13">
        <f>N29+O29+N30+O30+P29+P30</f>
        <v>2.4694363899963765</v>
      </c>
    </row>
    <row r="34" spans="2:14" x14ac:dyDescent="0.35">
      <c r="B34" s="3" t="s">
        <v>184</v>
      </c>
      <c r="D34" s="24">
        <f>_xlfn.CHISQ.DIST.RT(D33,D32)</f>
        <v>0.61370696635978295</v>
      </c>
      <c r="E34" s="32"/>
      <c r="G34" s="24">
        <f>_xlfn.CHISQ.DIST.RT(G33,G32)</f>
        <v>0.31431295777687435</v>
      </c>
      <c r="K34" s="24">
        <f>_xlfn.CHISQ.DIST.RT(K33,K32)</f>
        <v>0.71954893553212562</v>
      </c>
      <c r="N34" s="24">
        <f>_xlfn.CHISQ.DIST.RT(N33,N32)</f>
        <v>0.29091673260785694</v>
      </c>
    </row>
  </sheetData>
  <mergeCells count="16">
    <mergeCell ref="C6:D6"/>
    <mergeCell ref="G6:J6"/>
    <mergeCell ref="K6:M6"/>
    <mergeCell ref="N6:Q6"/>
    <mergeCell ref="C13:D13"/>
    <mergeCell ref="G13:J13"/>
    <mergeCell ref="K13:M13"/>
    <mergeCell ref="N13:Q13"/>
    <mergeCell ref="C20:D20"/>
    <mergeCell ref="G20:J20"/>
    <mergeCell ref="K20:M20"/>
    <mergeCell ref="N20:Q20"/>
    <mergeCell ref="C27:D27"/>
    <mergeCell ref="G27:J27"/>
    <mergeCell ref="K27:M27"/>
    <mergeCell ref="N27:Q27"/>
  </mergeCells>
  <pageMargins left="0.7" right="0.7" top="0.75" bottom="0.75" header="0.3" footer="0.3"/>
  <pageSetup paperSize="9"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78"/>
  <sheetViews>
    <sheetView topLeftCell="A17" workbookViewId="0">
      <selection activeCell="N34" sqref="N34"/>
    </sheetView>
  </sheetViews>
  <sheetFormatPr defaultRowHeight="14.5" x14ac:dyDescent="0.35"/>
  <cols>
    <col min="2" max="2" width="11.36328125" customWidth="1"/>
    <col min="4" max="4" width="12.26953125" bestFit="1" customWidth="1"/>
    <col min="5" max="5" width="12.26953125" customWidth="1"/>
    <col min="7" max="7" width="11.1796875" customWidth="1"/>
    <col min="8" max="8" width="12.26953125" bestFit="1" customWidth="1"/>
    <col min="9" max="9" width="12.26953125" customWidth="1"/>
    <col min="11" max="11" width="17.1796875" bestFit="1" customWidth="1"/>
    <col min="12" max="12" width="12.26953125" bestFit="1" customWidth="1"/>
    <col min="14" max="14" width="10.7265625"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4"/>
      <c r="F6" s="25"/>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262</v>
      </c>
      <c r="C8" s="18">
        <f>COUNTIFS(bleach_treatment!V2:V124,0,bleach_treatment!AI2:AI124,1)</f>
        <v>18</v>
      </c>
      <c r="D8" s="18">
        <f>COUNTIFS(bleach_treatment!V2:V124,"&lt;0",bleach_treatment!AI2:AI124,1)</f>
        <v>3</v>
      </c>
      <c r="E8" s="18">
        <f>COUNTIFS(bleach_treatment!V2:V124,"&gt;0",bleach_treatment!AI2:AI124,1)</f>
        <v>4</v>
      </c>
      <c r="F8" s="18">
        <f>SUM(C8:E8)</f>
        <v>25</v>
      </c>
      <c r="G8" s="18">
        <f>COUNTIFS(bleach_treatment!Y2:Y124,0,bleach_treatment!AI2:AI124,1)</f>
        <v>19</v>
      </c>
      <c r="H8" s="18">
        <f>COUNTIFS(bleach_treatment!Y2:Y124,"&lt;0",bleach_treatment!AI2:AI124,1)</f>
        <v>5</v>
      </c>
      <c r="I8" s="18">
        <f>COUNTIFS(bleach_treatment!Y2:Y124,"&gt;0",bleach_treatment!AI2:AI124,1)</f>
        <v>0</v>
      </c>
      <c r="J8" s="18">
        <f>SUM(G8:I8)</f>
        <v>24</v>
      </c>
      <c r="K8" s="18">
        <f>COUNTIFS(bleach_treatment!P2:P124,"&gt;=0",bleach_treatment!AI2:AI124,1)</f>
        <v>16</v>
      </c>
      <c r="L8" s="18">
        <f>COUNTIFS(bleach_treatment!P2:P124,"&lt;0",bleach_treatment!AI2:AI124,1)</f>
        <v>9</v>
      </c>
      <c r="M8" s="18">
        <f>SUM(K8:L8)</f>
        <v>25</v>
      </c>
      <c r="N8" s="18">
        <f>COUNTIFS(bleach_treatment!M2:M124,0,bleach_treatment!AI2:AI124,1)</f>
        <v>13</v>
      </c>
      <c r="O8" s="18">
        <f>COUNTIFS(bleach_treatment!M2:M124,"&lt;0",bleach_treatment!AI2:AI124,1)</f>
        <v>5</v>
      </c>
      <c r="P8" s="18">
        <f>COUNTIFS(bleach_treatment!M2:M124,"&gt;0",bleach_treatment!AI2:AI124,1)</f>
        <v>7</v>
      </c>
      <c r="Q8" s="18">
        <f>SUM(N8:P8)</f>
        <v>25</v>
      </c>
    </row>
    <row r="9" spans="2:17" x14ac:dyDescent="0.35">
      <c r="B9" s="6" t="s">
        <v>263</v>
      </c>
      <c r="C9" s="18">
        <f>COUNTIFS(bleach_treatment!V2:V124,0,bleach_treatment!AI2:AI124,0)</f>
        <v>48</v>
      </c>
      <c r="D9" s="18">
        <f>COUNTIFS(bleach_treatment!V2:V124,"&lt;0",bleach_treatment!AI2:AI124,0)</f>
        <v>22</v>
      </c>
      <c r="E9" s="18">
        <f>COUNTIFS(bleach_treatment!V2:V124,"&gt;0",bleach_treatment!AI2:AI124,0)</f>
        <v>27</v>
      </c>
      <c r="F9" s="18">
        <f t="shared" ref="F9" si="0">SUM(C9:E9)</f>
        <v>97</v>
      </c>
      <c r="G9" s="18">
        <f>COUNTIFS(bleach_treatment!Y2:Y124,0,bleach_treatment!AI2:AI124,0)</f>
        <v>80</v>
      </c>
      <c r="H9" s="18">
        <f>COUNTIFS(bleach_treatment!Y2:Y124,"&lt;0",bleach_treatment!AI2:AI124,0)</f>
        <v>5</v>
      </c>
      <c r="I9" s="18">
        <f>COUNTIFS(bleach_treatment!Y2:Y124,"&gt;0",bleach_treatment!AI2:AI124,0)</f>
        <v>12</v>
      </c>
      <c r="J9" s="18">
        <f t="shared" ref="J9" si="1">SUM(G9:I9)</f>
        <v>97</v>
      </c>
      <c r="K9" s="18">
        <f>COUNTIFS(bleach_treatment!P2:P124,"&gt;=0",bleach_treatment!AI2:AI124,0)</f>
        <v>49</v>
      </c>
      <c r="L9" s="18">
        <f>COUNTIFS(bleach_treatment!P2:P124,"&lt;0",bleach_treatment!AI2:AI124,0)</f>
        <v>49</v>
      </c>
      <c r="M9" s="18">
        <f>SUM(K9:L9)</f>
        <v>98</v>
      </c>
      <c r="N9" s="18">
        <f>COUNTIFS(bleach_treatment!M2:M124,0,bleach_treatment!AI2:AI124,0)</f>
        <v>76</v>
      </c>
      <c r="O9" s="18">
        <f>COUNTIFS(bleach_treatment!M2:M124,"&lt;0",bleach_treatment!AI2:AI124,0)</f>
        <v>13</v>
      </c>
      <c r="P9" s="18">
        <f>COUNTIFS(bleach_treatment!M2:M124,"&gt;0",bleach_treatment!AI2:AI124,0)</f>
        <v>9</v>
      </c>
      <c r="Q9" s="18">
        <f t="shared" ref="Q9" si="2">SUM(N9:P9)</f>
        <v>98</v>
      </c>
    </row>
    <row r="10" spans="2:17" x14ac:dyDescent="0.35">
      <c r="B10" s="3" t="s">
        <v>180</v>
      </c>
      <c r="C10" s="18">
        <f>SUM(C8:C9)</f>
        <v>66</v>
      </c>
      <c r="D10" s="18">
        <f t="shared" ref="D10:F10" si="3">SUM(D8:D9)</f>
        <v>25</v>
      </c>
      <c r="E10" s="18">
        <f t="shared" si="3"/>
        <v>31</v>
      </c>
      <c r="F10" s="18">
        <f t="shared" si="3"/>
        <v>122</v>
      </c>
      <c r="G10" s="22">
        <f>SUM(G8:G9)</f>
        <v>99</v>
      </c>
      <c r="H10" s="22">
        <f t="shared" ref="H10:J10" si="4">SUM(H8:H9)</f>
        <v>10</v>
      </c>
      <c r="I10" s="22">
        <f t="shared" si="4"/>
        <v>12</v>
      </c>
      <c r="J10" s="22">
        <f t="shared" si="4"/>
        <v>121</v>
      </c>
      <c r="K10" s="22">
        <f>SUM(K8:K9)</f>
        <v>65</v>
      </c>
      <c r="L10" s="22">
        <f t="shared" ref="L10:M10" si="5">SUM(L8:L9)</f>
        <v>58</v>
      </c>
      <c r="M10" s="22">
        <f t="shared" si="5"/>
        <v>123</v>
      </c>
      <c r="N10" s="22">
        <f>SUM(N8:N9)</f>
        <v>89</v>
      </c>
      <c r="O10" s="22">
        <f t="shared" ref="O10:Q10" si="6">SUM(O8:O9)</f>
        <v>18</v>
      </c>
      <c r="P10" s="22">
        <f t="shared" si="6"/>
        <v>16</v>
      </c>
      <c r="Q10" s="22">
        <f t="shared" si="6"/>
        <v>123</v>
      </c>
    </row>
    <row r="12" spans="2:17" x14ac:dyDescent="0.35">
      <c r="B12" s="3" t="s">
        <v>188</v>
      </c>
    </row>
    <row r="13" spans="2:17" x14ac:dyDescent="0.35">
      <c r="C13" s="48" t="s">
        <v>71</v>
      </c>
      <c r="D13" s="48"/>
      <c r="E13" s="34"/>
      <c r="F13" s="25"/>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262</v>
      </c>
      <c r="C15" s="23">
        <f t="shared" ref="C15" si="7">C8/$F8</f>
        <v>0.72</v>
      </c>
      <c r="D15" s="23">
        <f t="shared" ref="D15:F15" si="8">D8/$F8</f>
        <v>0.12</v>
      </c>
      <c r="E15" s="23">
        <f t="shared" si="8"/>
        <v>0.16</v>
      </c>
      <c r="F15" s="23">
        <f t="shared" si="8"/>
        <v>1</v>
      </c>
      <c r="G15" s="23">
        <f t="shared" ref="G15" si="9">G8/$J8</f>
        <v>0.79166666666666663</v>
      </c>
      <c r="H15" s="23">
        <f t="shared" ref="H15:J15" si="10">H8/$J8</f>
        <v>0.20833333333333334</v>
      </c>
      <c r="I15" s="23">
        <f t="shared" si="10"/>
        <v>0</v>
      </c>
      <c r="J15" s="23">
        <f t="shared" si="10"/>
        <v>1</v>
      </c>
      <c r="K15" s="23">
        <f t="shared" ref="K15:M17" si="11">K8/$M8</f>
        <v>0.64</v>
      </c>
      <c r="L15" s="23">
        <f t="shared" si="11"/>
        <v>0.36</v>
      </c>
      <c r="M15" s="23">
        <f t="shared" si="11"/>
        <v>1</v>
      </c>
      <c r="N15" s="23">
        <f t="shared" ref="N15" si="12">N8/$Q8</f>
        <v>0.52</v>
      </c>
      <c r="O15" s="23">
        <f t="shared" ref="O15:Q15" si="13">O8/$Q8</f>
        <v>0.2</v>
      </c>
      <c r="P15" s="23">
        <f t="shared" si="13"/>
        <v>0.28000000000000003</v>
      </c>
      <c r="Q15" s="23">
        <f t="shared" si="13"/>
        <v>1</v>
      </c>
    </row>
    <row r="16" spans="2:17" x14ac:dyDescent="0.35">
      <c r="B16" s="6" t="s">
        <v>263</v>
      </c>
      <c r="C16" s="23">
        <f t="shared" ref="C16:F16" si="14">C9/$F9</f>
        <v>0.49484536082474229</v>
      </c>
      <c r="D16" s="23">
        <f t="shared" si="14"/>
        <v>0.22680412371134021</v>
      </c>
      <c r="E16" s="23">
        <f t="shared" si="14"/>
        <v>0.27835051546391754</v>
      </c>
      <c r="F16" s="23">
        <f t="shared" si="14"/>
        <v>1</v>
      </c>
      <c r="G16" s="23">
        <f t="shared" ref="G16:J16" si="15">G9/$J9</f>
        <v>0.82474226804123707</v>
      </c>
      <c r="H16" s="23">
        <f t="shared" si="15"/>
        <v>5.1546391752577317E-2</v>
      </c>
      <c r="I16" s="23">
        <f t="shared" si="15"/>
        <v>0.12371134020618557</v>
      </c>
      <c r="J16" s="23">
        <f t="shared" si="15"/>
        <v>1</v>
      </c>
      <c r="K16" s="23">
        <f t="shared" si="11"/>
        <v>0.5</v>
      </c>
      <c r="L16" s="23">
        <f t="shared" si="11"/>
        <v>0.5</v>
      </c>
      <c r="M16" s="23">
        <f t="shared" si="11"/>
        <v>1</v>
      </c>
      <c r="N16" s="23">
        <f t="shared" ref="N16:Q16" si="16">N9/$Q9</f>
        <v>0.77551020408163263</v>
      </c>
      <c r="O16" s="23">
        <f t="shared" si="16"/>
        <v>0.1326530612244898</v>
      </c>
      <c r="P16" s="23">
        <f t="shared" si="16"/>
        <v>9.1836734693877556E-2</v>
      </c>
      <c r="Q16" s="23">
        <f t="shared" si="16"/>
        <v>1</v>
      </c>
    </row>
    <row r="17" spans="2:17" x14ac:dyDescent="0.35">
      <c r="B17" s="3" t="s">
        <v>180</v>
      </c>
      <c r="C17" s="23">
        <f t="shared" ref="C17:F17" si="17">C10/$F10</f>
        <v>0.54098360655737709</v>
      </c>
      <c r="D17" s="23">
        <f t="shared" si="17"/>
        <v>0.20491803278688525</v>
      </c>
      <c r="E17" s="23">
        <f t="shared" si="17"/>
        <v>0.25409836065573771</v>
      </c>
      <c r="F17" s="23">
        <f t="shared" si="17"/>
        <v>1</v>
      </c>
      <c r="G17" s="23">
        <f t="shared" ref="G17:J17" si="18">G10/$J10</f>
        <v>0.81818181818181823</v>
      </c>
      <c r="H17" s="23">
        <f t="shared" si="18"/>
        <v>8.2644628099173556E-2</v>
      </c>
      <c r="I17" s="23">
        <f t="shared" si="18"/>
        <v>9.9173553719008267E-2</v>
      </c>
      <c r="J17" s="23">
        <f t="shared" si="18"/>
        <v>1</v>
      </c>
      <c r="K17" s="23">
        <f t="shared" si="11"/>
        <v>0.52845528455284552</v>
      </c>
      <c r="L17" s="23">
        <f t="shared" si="11"/>
        <v>0.47154471544715448</v>
      </c>
      <c r="M17" s="23">
        <f t="shared" si="11"/>
        <v>1</v>
      </c>
      <c r="N17" s="23">
        <f t="shared" ref="N17:Q17" si="19">N10/$Q10</f>
        <v>0.72357723577235777</v>
      </c>
      <c r="O17" s="23">
        <f t="shared" si="19"/>
        <v>0.14634146341463414</v>
      </c>
      <c r="P17" s="23">
        <f t="shared" si="19"/>
        <v>0.13008130081300814</v>
      </c>
      <c r="Q17" s="23">
        <f t="shared" si="19"/>
        <v>1</v>
      </c>
    </row>
    <row r="19" spans="2:17" x14ac:dyDescent="0.35">
      <c r="B19" s="3" t="s">
        <v>181</v>
      </c>
    </row>
    <row r="20" spans="2:17" x14ac:dyDescent="0.35">
      <c r="C20" s="48" t="s">
        <v>71</v>
      </c>
      <c r="D20" s="48"/>
      <c r="E20" s="34"/>
      <c r="F20" s="25"/>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262</v>
      </c>
      <c r="C22" s="19">
        <f t="shared" ref="C22" si="20">($F8*C$10)/$F$10</f>
        <v>13.524590163934427</v>
      </c>
      <c r="D22" s="19">
        <f t="shared" ref="D22:F22" si="21">($F8*D$10)/$F$10</f>
        <v>5.1229508196721314</v>
      </c>
      <c r="E22" s="19">
        <f t="shared" si="21"/>
        <v>6.3524590163934427</v>
      </c>
      <c r="F22" s="19">
        <f t="shared" si="21"/>
        <v>25</v>
      </c>
      <c r="G22" s="19">
        <f t="shared" ref="G22" si="22">($J8*G$10)/$J$10</f>
        <v>19.636363636363637</v>
      </c>
      <c r="H22" s="19">
        <f t="shared" ref="H22:J22" si="23">($J8*H$10)/$J$10</f>
        <v>1.9834710743801653</v>
      </c>
      <c r="I22" s="19">
        <f t="shared" si="23"/>
        <v>2.3801652892561984</v>
      </c>
      <c r="J22" s="19">
        <f t="shared" si="23"/>
        <v>24</v>
      </c>
      <c r="K22" s="19">
        <f t="shared" ref="K22:M24" si="24">($M8*K$10)/$M$10</f>
        <v>13.211382113821138</v>
      </c>
      <c r="L22" s="19">
        <f t="shared" si="24"/>
        <v>11.788617886178862</v>
      </c>
      <c r="M22" s="19">
        <f t="shared" si="24"/>
        <v>25</v>
      </c>
      <c r="N22" s="19">
        <f t="shared" ref="N22" si="25">($Q8*N$10)/$Q$10</f>
        <v>18.089430894308943</v>
      </c>
      <c r="O22" s="19">
        <f t="shared" ref="O22:Q22" si="26">($Q8*O$10)/$Q$10</f>
        <v>3.6585365853658538</v>
      </c>
      <c r="P22" s="19">
        <f t="shared" si="26"/>
        <v>3.2520325203252032</v>
      </c>
      <c r="Q22" s="19">
        <f t="shared" si="26"/>
        <v>25</v>
      </c>
    </row>
    <row r="23" spans="2:17" x14ac:dyDescent="0.35">
      <c r="B23" s="6" t="s">
        <v>263</v>
      </c>
      <c r="C23" s="19">
        <f t="shared" ref="C23:F23" si="27">($F9*C$10)/$F$10</f>
        <v>52.475409836065573</v>
      </c>
      <c r="D23" s="19">
        <f t="shared" si="27"/>
        <v>19.877049180327869</v>
      </c>
      <c r="E23" s="19">
        <f t="shared" si="27"/>
        <v>24.647540983606557</v>
      </c>
      <c r="F23" s="19">
        <f t="shared" si="27"/>
        <v>97</v>
      </c>
      <c r="G23" s="19">
        <f t="shared" ref="G23:J23" si="28">($J9*G$10)/$J$10</f>
        <v>79.36363636363636</v>
      </c>
      <c r="H23" s="19">
        <f t="shared" si="28"/>
        <v>8.0165289256198342</v>
      </c>
      <c r="I23" s="19">
        <f t="shared" si="28"/>
        <v>9.6198347107438025</v>
      </c>
      <c r="J23" s="19">
        <f t="shared" si="28"/>
        <v>97</v>
      </c>
      <c r="K23" s="19">
        <f t="shared" si="24"/>
        <v>51.788617886178862</v>
      </c>
      <c r="L23" s="19">
        <f t="shared" si="24"/>
        <v>46.211382113821138</v>
      </c>
      <c r="M23" s="19">
        <f t="shared" si="24"/>
        <v>98</v>
      </c>
      <c r="N23" s="19">
        <f t="shared" ref="N23:Q23" si="29">($Q9*N$10)/$Q$10</f>
        <v>70.910569105691053</v>
      </c>
      <c r="O23" s="19">
        <f t="shared" si="29"/>
        <v>14.341463414634147</v>
      </c>
      <c r="P23" s="19">
        <f t="shared" si="29"/>
        <v>12.747967479674797</v>
      </c>
      <c r="Q23" s="19">
        <f t="shared" si="29"/>
        <v>98</v>
      </c>
    </row>
    <row r="24" spans="2:17" x14ac:dyDescent="0.35">
      <c r="B24" s="3" t="s">
        <v>180</v>
      </c>
      <c r="C24" s="19">
        <f t="shared" ref="C24:F24" si="30">($F10*C$10)/$F$10</f>
        <v>66</v>
      </c>
      <c r="D24" s="19">
        <f t="shared" si="30"/>
        <v>25</v>
      </c>
      <c r="E24" s="19">
        <f t="shared" si="30"/>
        <v>31</v>
      </c>
      <c r="F24" s="19">
        <f t="shared" si="30"/>
        <v>122</v>
      </c>
      <c r="G24" s="19">
        <f t="shared" ref="G24:J24" si="31">($J10*G$10)/$J$10</f>
        <v>99</v>
      </c>
      <c r="H24" s="19">
        <f t="shared" si="31"/>
        <v>10</v>
      </c>
      <c r="I24" s="19">
        <f t="shared" si="31"/>
        <v>12</v>
      </c>
      <c r="J24" s="19">
        <f t="shared" si="31"/>
        <v>121</v>
      </c>
      <c r="K24" s="19">
        <f t="shared" si="24"/>
        <v>65</v>
      </c>
      <c r="L24" s="19">
        <f t="shared" si="24"/>
        <v>58</v>
      </c>
      <c r="M24" s="19">
        <f t="shared" si="24"/>
        <v>123</v>
      </c>
      <c r="N24" s="19">
        <f t="shared" ref="N24:Q24" si="32">($Q10*N$10)/$Q$10</f>
        <v>89</v>
      </c>
      <c r="O24" s="19">
        <f t="shared" si="32"/>
        <v>18</v>
      </c>
      <c r="P24" s="19">
        <f t="shared" si="32"/>
        <v>16</v>
      </c>
      <c r="Q24" s="19">
        <f t="shared" si="32"/>
        <v>123</v>
      </c>
    </row>
    <row r="26" spans="2:17" x14ac:dyDescent="0.35">
      <c r="B26" s="3" t="s">
        <v>182</v>
      </c>
    </row>
    <row r="27" spans="2:17" x14ac:dyDescent="0.35">
      <c r="C27" s="48" t="s">
        <v>71</v>
      </c>
      <c r="D27" s="48"/>
      <c r="E27" s="34"/>
      <c r="F27" s="25"/>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262</v>
      </c>
      <c r="C29" s="29">
        <f t="shared" ref="C29:C30" si="33">(C8-C22)^2/C22</f>
        <v>1.4809538002980622</v>
      </c>
      <c r="D29" s="29">
        <f t="shared" ref="D29:E29" si="34">(D8-D22)^2/D22</f>
        <v>0.87975081967213131</v>
      </c>
      <c r="E29" s="29">
        <f t="shared" si="34"/>
        <v>0.87116869381279749</v>
      </c>
      <c r="F29" s="29"/>
      <c r="G29" s="29">
        <f>(G8-G22)^2/G22</f>
        <v>2.0622895622895644E-2</v>
      </c>
      <c r="H29" s="29">
        <f t="shared" ref="H29:I29" si="35">(H8-H22)^2/H22</f>
        <v>4.5876377410468319</v>
      </c>
      <c r="I29" s="29">
        <f t="shared" si="35"/>
        <v>2.3801652892561984</v>
      </c>
      <c r="J29" s="29"/>
      <c r="K29" s="29">
        <f>(K8-K22)^2/K22</f>
        <v>0.58861288305190762</v>
      </c>
      <c r="L29" s="29">
        <f t="shared" ref="L29" si="36">(L8-L22)^2/L22</f>
        <v>0.65965236893748258</v>
      </c>
      <c r="M29" s="29"/>
      <c r="N29" s="29">
        <f>(N8-N22)^2/N22</f>
        <v>1.4319028044213029</v>
      </c>
      <c r="O29" s="29">
        <f t="shared" ref="O29:P29" si="37">(O8-O22)^2/O22</f>
        <v>0.49186991869918684</v>
      </c>
      <c r="P29" s="29">
        <f t="shared" si="37"/>
        <v>4.3195325203252031</v>
      </c>
      <c r="Q29" s="21"/>
    </row>
    <row r="30" spans="2:17" x14ac:dyDescent="0.35">
      <c r="B30" s="6" t="s">
        <v>263</v>
      </c>
      <c r="C30" s="29">
        <f t="shared" si="33"/>
        <v>0.38168912378816039</v>
      </c>
      <c r="D30" s="29">
        <f t="shared" ref="D30:E30" si="38">(D9-D23)^2/D23</f>
        <v>0.22673990197735325</v>
      </c>
      <c r="E30" s="29">
        <f t="shared" si="38"/>
        <v>0.2245280138692777</v>
      </c>
      <c r="F30" s="29"/>
      <c r="G30" s="29">
        <f>(G9-G23)^2/G23</f>
        <v>5.1025721128814538E-3</v>
      </c>
      <c r="H30" s="29">
        <f t="shared" ref="H30:I30" si="39">(H9-H23)^2/H23</f>
        <v>1.1350856266507623</v>
      </c>
      <c r="I30" s="29">
        <f t="shared" si="39"/>
        <v>0.58890687569225475</v>
      </c>
      <c r="J30" s="29"/>
      <c r="K30" s="29">
        <f>(K9-K23)^2/K23</f>
        <v>0.15015634771732336</v>
      </c>
      <c r="L30" s="29">
        <f t="shared" ref="L30" si="40">(L9-L23)^2/L23</f>
        <v>0.16827866554527618</v>
      </c>
      <c r="M30" s="29"/>
      <c r="N30" s="29">
        <f>(N9-N23)^2/N23</f>
        <v>0.36528132765849614</v>
      </c>
      <c r="O30" s="29">
        <f t="shared" ref="O30:P30" si="41">(O9-O23)^2/O23</f>
        <v>0.12547702007632328</v>
      </c>
      <c r="P30" s="29">
        <f t="shared" si="41"/>
        <v>1.1019215613074498</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2:17" x14ac:dyDescent="0.35">
      <c r="B33" s="3" t="s">
        <v>183</v>
      </c>
      <c r="D33" s="13">
        <f>C29+C30+D29+D30+E29+E30</f>
        <v>4.0648303534177819</v>
      </c>
      <c r="E33" s="13"/>
      <c r="F33" s="13"/>
      <c r="G33" s="13">
        <f>G29+H29+G30+H30+I29+I30</f>
        <v>8.717521000381824</v>
      </c>
      <c r="H33" s="13"/>
      <c r="I33" s="13"/>
      <c r="J33" s="13"/>
      <c r="K33" s="13">
        <f>K29+L29+K30+L30</f>
        <v>1.5667002652519897</v>
      </c>
      <c r="L33" s="13"/>
      <c r="M33" s="13"/>
      <c r="N33" s="13">
        <f>N29+O29+N30+O30+P29+P30</f>
        <v>7.8359851524879627</v>
      </c>
    </row>
    <row r="34" spans="2:17" x14ac:dyDescent="0.35">
      <c r="B34" s="3" t="s">
        <v>184</v>
      </c>
      <c r="D34" s="24">
        <f>_xlfn.CHISQ.DIST.RT(D33,D32)</f>
        <v>0.13101870539378199</v>
      </c>
      <c r="E34" s="32"/>
      <c r="G34" s="31">
        <f>_xlfn.CHISQ.DIST.RT(G33,G32)</f>
        <v>1.2794236278745158E-2</v>
      </c>
      <c r="K34" s="24">
        <f>_xlfn.CHISQ.DIST.RT(K33,K32)</f>
        <v>0.21068686299433806</v>
      </c>
      <c r="N34" s="31">
        <f>_xlfn.CHISQ.DIST.RT(N33,N32)</f>
        <v>1.9880964233396588E-2</v>
      </c>
    </row>
    <row r="36" spans="2:17" x14ac:dyDescent="0.35">
      <c r="F36" s="36">
        <v>1</v>
      </c>
      <c r="G36" s="3" t="s">
        <v>189</v>
      </c>
      <c r="M36" s="36">
        <v>1</v>
      </c>
      <c r="N36" s="3" t="s">
        <v>189</v>
      </c>
    </row>
    <row r="37" spans="2:17" x14ac:dyDescent="0.35">
      <c r="H37" s="6" t="s">
        <v>273</v>
      </c>
      <c r="I37" s="6" t="s">
        <v>274</v>
      </c>
      <c r="J37" s="6" t="s">
        <v>180</v>
      </c>
      <c r="O37" s="6" t="s">
        <v>273</v>
      </c>
      <c r="P37" s="6" t="s">
        <v>274</v>
      </c>
      <c r="Q37" s="6" t="s">
        <v>180</v>
      </c>
    </row>
    <row r="38" spans="2:17" x14ac:dyDescent="0.35">
      <c r="G38" s="6" t="s">
        <v>262</v>
      </c>
      <c r="H38">
        <f>G8</f>
        <v>19</v>
      </c>
      <c r="I38">
        <f>H8</f>
        <v>5</v>
      </c>
      <c r="J38">
        <f>SUM(H38:I38)</f>
        <v>24</v>
      </c>
      <c r="N38" s="6" t="s">
        <v>262</v>
      </c>
      <c r="O38">
        <f>N8</f>
        <v>13</v>
      </c>
      <c r="P38">
        <f>O8</f>
        <v>5</v>
      </c>
      <c r="Q38">
        <f>SUM(O38:P38)</f>
        <v>18</v>
      </c>
    </row>
    <row r="39" spans="2:17" x14ac:dyDescent="0.35">
      <c r="G39" s="6" t="s">
        <v>263</v>
      </c>
      <c r="H39">
        <f>G9</f>
        <v>80</v>
      </c>
      <c r="I39">
        <f>H9</f>
        <v>5</v>
      </c>
      <c r="J39">
        <f>SUM(H39:I39)</f>
        <v>85</v>
      </c>
      <c r="N39" s="6" t="s">
        <v>263</v>
      </c>
      <c r="O39">
        <f>N9</f>
        <v>76</v>
      </c>
      <c r="P39">
        <f>O9</f>
        <v>13</v>
      </c>
      <c r="Q39">
        <f>SUM(O39:P39)</f>
        <v>89</v>
      </c>
    </row>
    <row r="40" spans="2:17" x14ac:dyDescent="0.35">
      <c r="G40" t="s">
        <v>180</v>
      </c>
      <c r="H40">
        <f>SUM(H38:H39)</f>
        <v>99</v>
      </c>
      <c r="I40">
        <f t="shared" ref="I40:J40" si="42">SUM(I38:I39)</f>
        <v>10</v>
      </c>
      <c r="J40">
        <f t="shared" si="42"/>
        <v>109</v>
      </c>
      <c r="N40" t="s">
        <v>180</v>
      </c>
      <c r="O40">
        <f>SUM(O38:O39)</f>
        <v>89</v>
      </c>
      <c r="P40">
        <f t="shared" ref="P40:Q40" si="43">SUM(P38:P39)</f>
        <v>18</v>
      </c>
      <c r="Q40">
        <f t="shared" si="43"/>
        <v>107</v>
      </c>
    </row>
    <row r="42" spans="2:17" x14ac:dyDescent="0.35">
      <c r="G42" s="3" t="s">
        <v>181</v>
      </c>
      <c r="N42" s="3" t="s">
        <v>181</v>
      </c>
    </row>
    <row r="43" spans="2:17" x14ac:dyDescent="0.35">
      <c r="H43" s="6" t="s">
        <v>273</v>
      </c>
      <c r="I43" s="6" t="s">
        <v>274</v>
      </c>
      <c r="J43" s="6" t="s">
        <v>180</v>
      </c>
      <c r="O43" s="6" t="s">
        <v>273</v>
      </c>
      <c r="P43" s="6" t="s">
        <v>274</v>
      </c>
      <c r="Q43" s="6" t="s">
        <v>180</v>
      </c>
    </row>
    <row r="44" spans="2:17" x14ac:dyDescent="0.35">
      <c r="G44" s="6" t="s">
        <v>262</v>
      </c>
      <c r="H44" s="19">
        <f t="shared" ref="H44:J46" si="44">($J38*H$40)/$J$40</f>
        <v>21.798165137614678</v>
      </c>
      <c r="I44" s="19">
        <f t="shared" si="44"/>
        <v>2.2018348623853212</v>
      </c>
      <c r="J44" s="19">
        <f t="shared" si="44"/>
        <v>24</v>
      </c>
      <c r="N44" s="6" t="s">
        <v>262</v>
      </c>
      <c r="O44" s="19">
        <f>($Q38*O$40)/$Q$40</f>
        <v>14.971962616822429</v>
      </c>
      <c r="P44" s="19">
        <f t="shared" ref="P44:Q44" si="45">($Q38*P$40)/$Q$40</f>
        <v>3.02803738317757</v>
      </c>
      <c r="Q44" s="19">
        <f t="shared" si="45"/>
        <v>18</v>
      </c>
    </row>
    <row r="45" spans="2:17" x14ac:dyDescent="0.35">
      <c r="G45" s="6" t="s">
        <v>263</v>
      </c>
      <c r="H45" s="19">
        <f t="shared" si="44"/>
        <v>77.201834862385326</v>
      </c>
      <c r="I45" s="19">
        <f t="shared" si="44"/>
        <v>7.7981651376146788</v>
      </c>
      <c r="J45" s="19">
        <f t="shared" si="44"/>
        <v>85</v>
      </c>
      <c r="N45" s="6" t="s">
        <v>263</v>
      </c>
      <c r="O45" s="19">
        <f t="shared" ref="O45:Q46" si="46">($Q39*O$40)/$Q$40</f>
        <v>74.028037383177576</v>
      </c>
      <c r="P45" s="19">
        <f t="shared" si="46"/>
        <v>14.971962616822429</v>
      </c>
      <c r="Q45" s="19">
        <f t="shared" si="46"/>
        <v>89</v>
      </c>
    </row>
    <row r="46" spans="2:17" x14ac:dyDescent="0.35">
      <c r="G46" t="s">
        <v>180</v>
      </c>
      <c r="H46" s="19">
        <f t="shared" si="44"/>
        <v>99</v>
      </c>
      <c r="I46" s="19">
        <f t="shared" si="44"/>
        <v>10</v>
      </c>
      <c r="J46" s="19">
        <f t="shared" si="44"/>
        <v>109</v>
      </c>
      <c r="N46" t="s">
        <v>180</v>
      </c>
      <c r="O46" s="19">
        <f t="shared" si="46"/>
        <v>89</v>
      </c>
      <c r="P46" s="19">
        <f t="shared" si="46"/>
        <v>18</v>
      </c>
      <c r="Q46" s="19">
        <f t="shared" si="46"/>
        <v>107</v>
      </c>
    </row>
    <row r="48" spans="2:17" x14ac:dyDescent="0.35">
      <c r="G48" s="3" t="s">
        <v>182</v>
      </c>
      <c r="N48" s="3" t="s">
        <v>182</v>
      </c>
    </row>
    <row r="49" spans="6:17" x14ac:dyDescent="0.35">
      <c r="H49" s="48" t="s">
        <v>74</v>
      </c>
      <c r="I49" s="48"/>
      <c r="J49" s="35"/>
      <c r="O49" s="48" t="s">
        <v>179</v>
      </c>
      <c r="P49" s="48"/>
      <c r="Q49" s="37"/>
    </row>
    <row r="50" spans="6:17" x14ac:dyDescent="0.35">
      <c r="H50" s="17" t="s">
        <v>273</v>
      </c>
      <c r="I50" s="17" t="s">
        <v>274</v>
      </c>
      <c r="J50" s="17"/>
      <c r="O50" s="17" t="s">
        <v>273</v>
      </c>
      <c r="P50" s="6" t="s">
        <v>274</v>
      </c>
      <c r="Q50" s="17"/>
    </row>
    <row r="51" spans="6:17" x14ac:dyDescent="0.35">
      <c r="G51" s="6" t="s">
        <v>262</v>
      </c>
      <c r="H51" s="29">
        <f>(H38-H44)^2/H44</f>
        <v>0.35919207364161465</v>
      </c>
      <c r="I51" s="29">
        <f>(I38-I44)^2/I44</f>
        <v>3.5560015290519873</v>
      </c>
      <c r="J51" s="29"/>
      <c r="N51" s="6" t="s">
        <v>262</v>
      </c>
      <c r="O51" s="29">
        <f>(O38-O44)^2/O44</f>
        <v>0.25972791020570063</v>
      </c>
      <c r="P51" s="29">
        <f>(P38-P44)^2/P44</f>
        <v>1.2842102226837431</v>
      </c>
      <c r="Q51" s="29"/>
    </row>
    <row r="52" spans="6:17" x14ac:dyDescent="0.35">
      <c r="G52" s="6" t="s">
        <v>263</v>
      </c>
      <c r="H52" s="29">
        <f>(H39-H45)^2/H45</f>
        <v>0.10141893843998505</v>
      </c>
      <c r="I52" s="29">
        <f>(I39-I45)^2/I45</f>
        <v>1.0040474905558554</v>
      </c>
      <c r="J52" s="29"/>
      <c r="N52" s="6" t="s">
        <v>263</v>
      </c>
      <c r="O52" s="29">
        <f>(O39-O45)^2/O45</f>
        <v>5.2529240266321185E-2</v>
      </c>
      <c r="P52" s="29">
        <f>(P39-P45)^2/P45</f>
        <v>0.25972791020570063</v>
      </c>
      <c r="Q52" s="29"/>
    </row>
    <row r="54" spans="6:17" x14ac:dyDescent="0.35">
      <c r="G54" s="3" t="s">
        <v>185</v>
      </c>
      <c r="H54" s="21"/>
      <c r="I54" s="19">
        <v>1</v>
      </c>
      <c r="N54" s="3" t="s">
        <v>185</v>
      </c>
      <c r="O54" s="21"/>
      <c r="P54" s="19">
        <v>1</v>
      </c>
    </row>
    <row r="55" spans="6:17" x14ac:dyDescent="0.35">
      <c r="G55" s="3" t="s">
        <v>183</v>
      </c>
      <c r="I55" s="13">
        <f>H51+H52+I51+I52</f>
        <v>5.0206600316894425</v>
      </c>
      <c r="N55" s="3" t="s">
        <v>183</v>
      </c>
      <c r="P55" s="13">
        <f>O51+O52+P51+P52</f>
        <v>1.8561952833614654</v>
      </c>
    </row>
    <row r="56" spans="6:17" x14ac:dyDescent="0.35">
      <c r="G56" s="3" t="s">
        <v>184</v>
      </c>
      <c r="I56" s="31">
        <f>_xlfn.CHISQ.DIST.RT(I55,I54)</f>
        <v>2.5046620028927821E-2</v>
      </c>
      <c r="N56" s="3" t="s">
        <v>184</v>
      </c>
      <c r="P56" s="24">
        <f>_xlfn.CHISQ.DIST.RT(P55,P54)</f>
        <v>0.17306456209575996</v>
      </c>
    </row>
    <row r="58" spans="6:17" x14ac:dyDescent="0.35">
      <c r="F58" s="36">
        <v>2</v>
      </c>
      <c r="G58" s="3" t="s">
        <v>189</v>
      </c>
      <c r="M58" s="36">
        <v>2</v>
      </c>
      <c r="N58" s="3" t="s">
        <v>189</v>
      </c>
    </row>
    <row r="59" spans="6:17" x14ac:dyDescent="0.35">
      <c r="H59" s="6" t="s">
        <v>273</v>
      </c>
      <c r="I59" s="6" t="s">
        <v>275</v>
      </c>
      <c r="J59" s="6" t="s">
        <v>180</v>
      </c>
      <c r="O59" s="6" t="s">
        <v>273</v>
      </c>
      <c r="P59" s="6" t="s">
        <v>275</v>
      </c>
      <c r="Q59" s="6" t="s">
        <v>180</v>
      </c>
    </row>
    <row r="60" spans="6:17" x14ac:dyDescent="0.35">
      <c r="G60" s="6" t="s">
        <v>262</v>
      </c>
      <c r="H60">
        <f>G8</f>
        <v>19</v>
      </c>
      <c r="I60">
        <f>I8</f>
        <v>0</v>
      </c>
      <c r="J60">
        <f>SUM(H60:I60)</f>
        <v>19</v>
      </c>
      <c r="N60" s="6" t="s">
        <v>262</v>
      </c>
      <c r="O60">
        <f>N8</f>
        <v>13</v>
      </c>
      <c r="P60">
        <f>P8</f>
        <v>7</v>
      </c>
      <c r="Q60">
        <f>SUM(O60:P60)</f>
        <v>20</v>
      </c>
    </row>
    <row r="61" spans="6:17" x14ac:dyDescent="0.35">
      <c r="G61" s="6" t="s">
        <v>263</v>
      </c>
      <c r="H61">
        <f>G9</f>
        <v>80</v>
      </c>
      <c r="I61">
        <f>I9</f>
        <v>12</v>
      </c>
      <c r="J61">
        <f t="shared" ref="J61" si="47">SUM(H61:I61)</f>
        <v>92</v>
      </c>
      <c r="N61" s="6" t="s">
        <v>263</v>
      </c>
      <c r="O61">
        <f>N9</f>
        <v>76</v>
      </c>
      <c r="P61">
        <f>P9</f>
        <v>9</v>
      </c>
      <c r="Q61">
        <f t="shared" ref="Q61" si="48">SUM(O61:P61)</f>
        <v>85</v>
      </c>
    </row>
    <row r="62" spans="6:17" x14ac:dyDescent="0.35">
      <c r="G62" t="s">
        <v>180</v>
      </c>
      <c r="H62">
        <f>SUM(H60:H61)</f>
        <v>99</v>
      </c>
      <c r="I62">
        <f>SUM(I60:I61)</f>
        <v>12</v>
      </c>
      <c r="J62">
        <f>SUM(J60:J61)</f>
        <v>111</v>
      </c>
      <c r="N62" t="s">
        <v>180</v>
      </c>
      <c r="O62">
        <f>SUM(O60:O61)</f>
        <v>89</v>
      </c>
      <c r="P62">
        <f t="shared" ref="P62:Q62" si="49">SUM(P60:P61)</f>
        <v>16</v>
      </c>
      <c r="Q62">
        <f t="shared" si="49"/>
        <v>105</v>
      </c>
    </row>
    <row r="64" spans="6:17" x14ac:dyDescent="0.35">
      <c r="G64" s="3" t="s">
        <v>181</v>
      </c>
      <c r="N64" s="3" t="s">
        <v>181</v>
      </c>
    </row>
    <row r="65" spans="7:17" x14ac:dyDescent="0.35">
      <c r="H65" s="6" t="s">
        <v>273</v>
      </c>
      <c r="I65" s="6" t="s">
        <v>275</v>
      </c>
      <c r="J65" s="6" t="s">
        <v>180</v>
      </c>
      <c r="O65" s="6" t="s">
        <v>273</v>
      </c>
      <c r="P65" s="6" t="s">
        <v>275</v>
      </c>
      <c r="Q65" s="6" t="s">
        <v>180</v>
      </c>
    </row>
    <row r="66" spans="7:17" x14ac:dyDescent="0.35">
      <c r="G66" s="6" t="s">
        <v>262</v>
      </c>
      <c r="H66" s="2">
        <f>($J60*H$62)/$J$62</f>
        <v>16.945945945945947</v>
      </c>
      <c r="I66" s="2">
        <f t="shared" ref="I66:J66" si="50">($J60*I$62)/$J$62</f>
        <v>2.0540540540540539</v>
      </c>
      <c r="J66" s="2">
        <f t="shared" si="50"/>
        <v>19</v>
      </c>
      <c r="N66" s="6" t="s">
        <v>262</v>
      </c>
      <c r="O66" s="2">
        <f>($Q60*O$62)/$Q$62</f>
        <v>16.952380952380953</v>
      </c>
      <c r="P66" s="2">
        <f t="shared" ref="P66:Q66" si="51">($Q60*P$62)/$Q$62</f>
        <v>3.0476190476190474</v>
      </c>
      <c r="Q66" s="2">
        <f t="shared" si="51"/>
        <v>20</v>
      </c>
    </row>
    <row r="67" spans="7:17" x14ac:dyDescent="0.35">
      <c r="G67" s="6" t="s">
        <v>263</v>
      </c>
      <c r="H67" s="2">
        <f t="shared" ref="H67:J68" si="52">($J61*H$62)/$J$62</f>
        <v>82.054054054054049</v>
      </c>
      <c r="I67" s="2">
        <f t="shared" si="52"/>
        <v>9.9459459459459456</v>
      </c>
      <c r="J67" s="2">
        <f t="shared" si="52"/>
        <v>92</v>
      </c>
      <c r="N67" s="6" t="s">
        <v>263</v>
      </c>
      <c r="O67" s="2">
        <f t="shared" ref="O67:Q68" si="53">($Q61*O$62)/$Q$62</f>
        <v>72.047619047619051</v>
      </c>
      <c r="P67" s="2">
        <f t="shared" si="53"/>
        <v>12.952380952380953</v>
      </c>
      <c r="Q67" s="2">
        <f t="shared" si="53"/>
        <v>85</v>
      </c>
    </row>
    <row r="68" spans="7:17" x14ac:dyDescent="0.35">
      <c r="G68" t="s">
        <v>180</v>
      </c>
      <c r="H68" s="2">
        <f t="shared" si="52"/>
        <v>99</v>
      </c>
      <c r="I68" s="2">
        <f t="shared" si="52"/>
        <v>12</v>
      </c>
      <c r="J68" s="2">
        <f t="shared" si="52"/>
        <v>111</v>
      </c>
      <c r="N68" t="s">
        <v>180</v>
      </c>
      <c r="O68" s="2">
        <f t="shared" si="53"/>
        <v>89</v>
      </c>
      <c r="P68" s="2">
        <f t="shared" si="53"/>
        <v>16</v>
      </c>
      <c r="Q68" s="2">
        <f t="shared" si="53"/>
        <v>105</v>
      </c>
    </row>
    <row r="70" spans="7:17" x14ac:dyDescent="0.35">
      <c r="G70" s="3" t="s">
        <v>182</v>
      </c>
      <c r="N70" s="3" t="s">
        <v>182</v>
      </c>
    </row>
    <row r="71" spans="7:17" x14ac:dyDescent="0.35">
      <c r="H71" s="48" t="s">
        <v>74</v>
      </c>
      <c r="I71" s="48"/>
      <c r="J71" s="35"/>
      <c r="O71" s="48" t="s">
        <v>179</v>
      </c>
      <c r="P71" s="48"/>
      <c r="Q71" s="37"/>
    </row>
    <row r="72" spans="7:17" x14ac:dyDescent="0.35">
      <c r="H72" s="17" t="s">
        <v>273</v>
      </c>
      <c r="I72" s="6" t="s">
        <v>275</v>
      </c>
      <c r="J72" s="17"/>
      <c r="O72" s="17" t="s">
        <v>273</v>
      </c>
      <c r="P72" s="6" t="s">
        <v>275</v>
      </c>
      <c r="Q72" s="17"/>
    </row>
    <row r="73" spans="7:17" x14ac:dyDescent="0.35">
      <c r="G73" s="6" t="s">
        <v>262</v>
      </c>
      <c r="H73" s="29">
        <f>(H60-H66)^2/H66</f>
        <v>0.24897624897624862</v>
      </c>
      <c r="I73" s="29">
        <f>(I60-I66)^2/I66</f>
        <v>2.0540540540540539</v>
      </c>
      <c r="J73" s="29"/>
      <c r="N73" s="6" t="s">
        <v>262</v>
      </c>
      <c r="O73" s="29">
        <f>(O60-O66)^2/O66</f>
        <v>0.92148207597645804</v>
      </c>
      <c r="P73" s="29">
        <f>(P60-P66)^2/P66</f>
        <v>5.1257440476190483</v>
      </c>
      <c r="Q73" s="29"/>
    </row>
    <row r="74" spans="7:17" x14ac:dyDescent="0.35">
      <c r="G74" s="6" t="s">
        <v>263</v>
      </c>
      <c r="H74" s="29">
        <f>(H61-H67)^2/H67</f>
        <v>5.141900794074683E-2</v>
      </c>
      <c r="I74" s="29">
        <f>(I61-I67)^2/I67</f>
        <v>0.42420681551116346</v>
      </c>
      <c r="J74" s="29"/>
      <c r="N74" s="6" t="s">
        <v>263</v>
      </c>
      <c r="O74" s="29">
        <f>(O61-O67)^2/O67</f>
        <v>0.21681931199446031</v>
      </c>
      <c r="P74" s="29">
        <f>(P61-P67)^2/P67</f>
        <v>1.2060574229691878</v>
      </c>
      <c r="Q74" s="29"/>
    </row>
    <row r="76" spans="7:17" x14ac:dyDescent="0.35">
      <c r="G76" s="3" t="s">
        <v>185</v>
      </c>
      <c r="H76" s="21"/>
      <c r="I76" s="19">
        <v>1</v>
      </c>
      <c r="N76" s="3" t="s">
        <v>185</v>
      </c>
      <c r="O76" s="21"/>
      <c r="P76" s="19">
        <v>1</v>
      </c>
    </row>
    <row r="77" spans="7:17" x14ac:dyDescent="0.35">
      <c r="G77" s="3" t="s">
        <v>183</v>
      </c>
      <c r="I77" s="13">
        <f>H73+H74+I73+I74</f>
        <v>2.7786561264822129</v>
      </c>
      <c r="N77" s="3" t="s">
        <v>183</v>
      </c>
      <c r="P77" s="13">
        <f>O73+O74+P73+P74</f>
        <v>7.4701028585591551</v>
      </c>
    </row>
    <row r="78" spans="7:17" x14ac:dyDescent="0.35">
      <c r="G78" s="3" t="s">
        <v>184</v>
      </c>
      <c r="I78" s="24">
        <f>_xlfn.CHISQ.DIST.RT(I77,I76)</f>
        <v>9.5528294828725435E-2</v>
      </c>
      <c r="N78" s="3" t="s">
        <v>184</v>
      </c>
      <c r="P78" s="31">
        <f>_xlfn.CHISQ.DIST.RT(P77,P76)</f>
        <v>6.2731967256444039E-3</v>
      </c>
    </row>
  </sheetData>
  <mergeCells count="20">
    <mergeCell ref="C6:D6"/>
    <mergeCell ref="G6:J6"/>
    <mergeCell ref="K6:M6"/>
    <mergeCell ref="N6:Q6"/>
    <mergeCell ref="C13:D13"/>
    <mergeCell ref="G13:J13"/>
    <mergeCell ref="K13:M13"/>
    <mergeCell ref="N13:Q13"/>
    <mergeCell ref="H71:I71"/>
    <mergeCell ref="C20:D20"/>
    <mergeCell ref="G20:J20"/>
    <mergeCell ref="K20:M20"/>
    <mergeCell ref="O49:P49"/>
    <mergeCell ref="O71:P71"/>
    <mergeCell ref="N20:Q20"/>
    <mergeCell ref="C27:D27"/>
    <mergeCell ref="G27:J27"/>
    <mergeCell ref="K27:M27"/>
    <mergeCell ref="N27:Q27"/>
    <mergeCell ref="H49:I49"/>
  </mergeCells>
  <pageMargins left="0.7" right="0.7" top="0.75" bottom="0.75" header="0.3" footer="0.3"/>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34"/>
  <sheetViews>
    <sheetView topLeftCell="A16" workbookViewId="0">
      <selection activeCell="G33" sqref="G33"/>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bestFit="1" customWidth="1"/>
    <col min="9" max="9" width="12.26953125" customWidth="1"/>
    <col min="11" max="11" width="17.1796875" bestFit="1" customWidth="1"/>
    <col min="12" max="12" width="12.26953125" bestFit="1" customWidth="1"/>
    <col min="14" max="14" width="9.6328125" bestFit="1" customWidth="1"/>
    <col min="15" max="15" width="12.26953125" bestFit="1" customWidth="1"/>
    <col min="16" max="16" width="12.26953125" customWidth="1"/>
  </cols>
  <sheetData>
    <row r="2" spans="2:17" x14ac:dyDescent="0.35">
      <c r="C2" s="22" t="s">
        <v>186</v>
      </c>
    </row>
    <row r="3" spans="2:17" x14ac:dyDescent="0.35">
      <c r="C3" s="22" t="s">
        <v>187</v>
      </c>
    </row>
    <row r="5" spans="2:17" x14ac:dyDescent="0.35">
      <c r="B5" s="3" t="s">
        <v>189</v>
      </c>
    </row>
    <row r="6" spans="2:17" x14ac:dyDescent="0.35">
      <c r="C6" s="48" t="s">
        <v>71</v>
      </c>
      <c r="D6" s="48"/>
      <c r="E6" s="34"/>
      <c r="F6" s="25"/>
      <c r="G6" s="48" t="s">
        <v>74</v>
      </c>
      <c r="H6" s="48"/>
      <c r="I6" s="48"/>
      <c r="J6" s="48"/>
      <c r="K6" s="48" t="s">
        <v>178</v>
      </c>
      <c r="L6" s="48"/>
      <c r="M6" s="48"/>
      <c r="N6" s="48" t="s">
        <v>179</v>
      </c>
      <c r="O6" s="48"/>
      <c r="P6" s="48"/>
      <c r="Q6" s="48"/>
    </row>
    <row r="7" spans="2:17" x14ac:dyDescent="0.35">
      <c r="C7" s="17" t="s">
        <v>273</v>
      </c>
      <c r="D7" s="17" t="s">
        <v>274</v>
      </c>
      <c r="E7" s="17" t="s">
        <v>275</v>
      </c>
      <c r="F7" s="20" t="s">
        <v>180</v>
      </c>
      <c r="G7" s="17" t="s">
        <v>273</v>
      </c>
      <c r="H7" s="17" t="s">
        <v>274</v>
      </c>
      <c r="I7" s="17" t="s">
        <v>275</v>
      </c>
      <c r="J7" s="20" t="s">
        <v>180</v>
      </c>
      <c r="K7" s="17" t="s">
        <v>277</v>
      </c>
      <c r="L7" s="17" t="s">
        <v>274</v>
      </c>
      <c r="M7" s="20" t="s">
        <v>180</v>
      </c>
      <c r="N7" s="17" t="s">
        <v>273</v>
      </c>
      <c r="O7" s="17" t="s">
        <v>274</v>
      </c>
      <c r="P7" s="17" t="s">
        <v>275</v>
      </c>
      <c r="Q7" s="20" t="s">
        <v>180</v>
      </c>
    </row>
    <row r="8" spans="2:17" x14ac:dyDescent="0.35">
      <c r="B8" s="6" t="s">
        <v>254</v>
      </c>
      <c r="C8" s="18">
        <f>COUNTIFS(bleach_treatment!V2:V124,0,bleach_treatment!AD2:AD124,1)</f>
        <v>11</v>
      </c>
      <c r="D8" s="18">
        <f>COUNTIFS(bleach_treatment!V2:V124,"&lt;0",bleach_treatment!AD2:AD124,1)</f>
        <v>2</v>
      </c>
      <c r="E8" s="18">
        <f>COUNTIFS(bleach_treatment!V2:V124,"&gt;0",bleach_treatment!AD2:AD124,1)</f>
        <v>5</v>
      </c>
      <c r="F8" s="18">
        <f>SUM(C8:E8)</f>
        <v>18</v>
      </c>
      <c r="G8" s="18">
        <f>COUNTIFS(bleach_treatment!Y2:Y124,0,bleach_treatment!AD2:AD124,1)</f>
        <v>14</v>
      </c>
      <c r="H8" s="18">
        <f>COUNTIFS(bleach_treatment!Y2:Y124,"&lt;0",bleach_treatment!AD2:AD124,1)</f>
        <v>1</v>
      </c>
      <c r="I8" s="18">
        <f>COUNTIFS(bleach_treatment!Y2:Y124,"&gt;0",bleach_treatment!AD2:AD124,1)</f>
        <v>3</v>
      </c>
      <c r="J8" s="18">
        <f>SUM(G8:I8)</f>
        <v>18</v>
      </c>
      <c r="K8" s="18">
        <f>COUNTIFS(bleach_treatment!P2:P124,"&gt;=0",bleach_treatment!AD2:AD124,1)</f>
        <v>9</v>
      </c>
      <c r="L8" s="18">
        <f>COUNTIFS(bleach_treatment!P2:P124,"&lt;0",bleach_treatment!AD2:AD124,1)</f>
        <v>9</v>
      </c>
      <c r="M8" s="18">
        <f>SUM(K8:L8)</f>
        <v>18</v>
      </c>
      <c r="N8" s="18">
        <f>COUNTIFS(bleach_treatment!M2:M124,0,bleach_treatment!AD2:AD124,1)</f>
        <v>12</v>
      </c>
      <c r="O8" s="18">
        <f>COUNTIFS(bleach_treatment!M2:M124,"&lt;0",bleach_treatment!AD2:AD124,1)</f>
        <v>3</v>
      </c>
      <c r="P8" s="18">
        <f>COUNTIFS(bleach_treatment!M2:M124,"&gt;0",bleach_treatment!AD2:AD124,1)</f>
        <v>3</v>
      </c>
      <c r="Q8" s="18">
        <f>SUM(N8:P8)</f>
        <v>18</v>
      </c>
    </row>
    <row r="9" spans="2:17" x14ac:dyDescent="0.35">
      <c r="B9" s="6" t="s">
        <v>255</v>
      </c>
      <c r="C9" s="18">
        <f>COUNTIFS(bleach_treatment!V2:V124,0,bleach_treatment!AD2:AD124,0)</f>
        <v>55</v>
      </c>
      <c r="D9" s="18">
        <f>COUNTIFS(bleach_treatment!V2:V124,"&lt;0",bleach_treatment!AD2:AD124,0)</f>
        <v>23</v>
      </c>
      <c r="E9" s="18">
        <f>COUNTIFS(bleach_treatment!V2:V124,"&gt;0",bleach_treatment!AD2:AD124,0)</f>
        <v>26</v>
      </c>
      <c r="F9" s="18">
        <f t="shared" ref="F9" si="0">SUM(C9:E9)</f>
        <v>104</v>
      </c>
      <c r="G9" s="18">
        <f>COUNTIFS(bleach_treatment!Y2:Y124,0,bleach_treatment!AD2:AD124,0)</f>
        <v>85</v>
      </c>
      <c r="H9" s="18">
        <f>COUNTIFS(bleach_treatment!Y2:Y124,"&lt;0",bleach_treatment!AD2:AD124,0)</f>
        <v>9</v>
      </c>
      <c r="I9" s="18">
        <f>COUNTIFS(bleach_treatment!Y2:Y124,"&gt;0",bleach_treatment!AD2:AD124,0)</f>
        <v>9</v>
      </c>
      <c r="J9" s="18">
        <f t="shared" ref="J9" si="1">SUM(G9:I9)</f>
        <v>103</v>
      </c>
      <c r="K9" s="18">
        <f>COUNTIFS(bleach_treatment!P2:P124,"&gt;=0",bleach_treatment!AD2:AD124,0)</f>
        <v>56</v>
      </c>
      <c r="L9" s="18">
        <f>COUNTIFS(bleach_treatment!P2:P124,"&lt;0",bleach_treatment!AD2:AD124,0)</f>
        <v>49</v>
      </c>
      <c r="M9" s="18">
        <f>SUM(K9:L9)</f>
        <v>105</v>
      </c>
      <c r="N9" s="18">
        <f>COUNTIFS(bleach_treatment!M2:M124,0,bleach_treatment!AD2:AD124,0)</f>
        <v>77</v>
      </c>
      <c r="O9" s="18">
        <f>COUNTIFS(bleach_treatment!M2:M124,"&lt;0",bleach_treatment!AD2:AD124,0)</f>
        <v>15</v>
      </c>
      <c r="P9" s="18">
        <f>COUNTIFS(bleach_treatment!M2:M124,"&gt;0",bleach_treatment!AD2:AD124,0)</f>
        <v>13</v>
      </c>
      <c r="Q9" s="18">
        <f t="shared" ref="Q9:Q10" si="2">SUM(N9:P9)</f>
        <v>105</v>
      </c>
    </row>
    <row r="10" spans="2:17" x14ac:dyDescent="0.35">
      <c r="B10" s="3" t="s">
        <v>180</v>
      </c>
      <c r="C10" s="18">
        <f>SUM(C8:C9)</f>
        <v>66</v>
      </c>
      <c r="D10" s="18">
        <f t="shared" ref="D10:F10" si="3">SUM(D8:D9)</f>
        <v>25</v>
      </c>
      <c r="E10" s="18">
        <f t="shared" si="3"/>
        <v>31</v>
      </c>
      <c r="F10" s="18">
        <f t="shared" si="3"/>
        <v>122</v>
      </c>
      <c r="G10" s="22">
        <f>SUM(G8:G9)</f>
        <v>99</v>
      </c>
      <c r="H10" s="22">
        <f t="shared" ref="H10:J10" si="4">SUM(H8:H9)</f>
        <v>10</v>
      </c>
      <c r="I10" s="22">
        <f t="shared" si="4"/>
        <v>12</v>
      </c>
      <c r="J10" s="22">
        <f t="shared" si="4"/>
        <v>121</v>
      </c>
      <c r="K10" s="22">
        <f>SUM(K8:K9)</f>
        <v>65</v>
      </c>
      <c r="L10" s="22">
        <f t="shared" ref="L10:M10" si="5">SUM(L8:L9)</f>
        <v>58</v>
      </c>
      <c r="M10" s="22">
        <f t="shared" si="5"/>
        <v>123</v>
      </c>
      <c r="N10" s="22">
        <f>SUM(N8:N9)</f>
        <v>89</v>
      </c>
      <c r="O10" s="22">
        <f t="shared" ref="O10:P10" si="6">SUM(O8:O9)</f>
        <v>18</v>
      </c>
      <c r="P10" s="22">
        <f t="shared" si="6"/>
        <v>16</v>
      </c>
      <c r="Q10" s="18">
        <f t="shared" si="2"/>
        <v>123</v>
      </c>
    </row>
    <row r="12" spans="2:17" x14ac:dyDescent="0.35">
      <c r="B12" s="3" t="s">
        <v>188</v>
      </c>
    </row>
    <row r="13" spans="2:17" x14ac:dyDescent="0.35">
      <c r="C13" s="48" t="s">
        <v>71</v>
      </c>
      <c r="D13" s="48"/>
      <c r="E13" s="34"/>
      <c r="F13" s="25"/>
      <c r="G13" s="48" t="s">
        <v>74</v>
      </c>
      <c r="H13" s="48"/>
      <c r="I13" s="48"/>
      <c r="J13" s="48"/>
      <c r="K13" s="48" t="s">
        <v>178</v>
      </c>
      <c r="L13" s="48"/>
      <c r="M13" s="48"/>
      <c r="N13" s="48" t="s">
        <v>179</v>
      </c>
      <c r="O13" s="48"/>
      <c r="P13" s="48"/>
      <c r="Q13" s="48"/>
    </row>
    <row r="14" spans="2:17" x14ac:dyDescent="0.35">
      <c r="C14" s="17" t="s">
        <v>273</v>
      </c>
      <c r="D14" s="17" t="s">
        <v>274</v>
      </c>
      <c r="E14" s="17" t="s">
        <v>275</v>
      </c>
      <c r="F14" s="20" t="s">
        <v>180</v>
      </c>
      <c r="G14" s="17" t="s">
        <v>273</v>
      </c>
      <c r="H14" s="17" t="s">
        <v>274</v>
      </c>
      <c r="I14" s="17" t="s">
        <v>275</v>
      </c>
      <c r="J14" s="20" t="s">
        <v>180</v>
      </c>
      <c r="K14" s="17" t="s">
        <v>277</v>
      </c>
      <c r="L14" s="17" t="s">
        <v>274</v>
      </c>
      <c r="M14" s="20" t="s">
        <v>180</v>
      </c>
      <c r="N14" s="17" t="s">
        <v>273</v>
      </c>
      <c r="O14" s="17" t="s">
        <v>274</v>
      </c>
      <c r="P14" s="17" t="s">
        <v>275</v>
      </c>
      <c r="Q14" s="20" t="s">
        <v>180</v>
      </c>
    </row>
    <row r="15" spans="2:17" x14ac:dyDescent="0.35">
      <c r="B15" s="6" t="s">
        <v>254</v>
      </c>
      <c r="C15" s="23">
        <f t="shared" ref="C15:F15" si="7">C8/$F8</f>
        <v>0.61111111111111116</v>
      </c>
      <c r="D15" s="23">
        <f t="shared" si="7"/>
        <v>0.1111111111111111</v>
      </c>
      <c r="E15" s="23">
        <f t="shared" si="7"/>
        <v>0.27777777777777779</v>
      </c>
      <c r="F15" s="23">
        <f t="shared" si="7"/>
        <v>1</v>
      </c>
      <c r="G15" s="23">
        <f t="shared" ref="G15" si="8">G8/$J8</f>
        <v>0.77777777777777779</v>
      </c>
      <c r="H15" s="23">
        <f t="shared" ref="H15:J15" si="9">H8/$J8</f>
        <v>5.5555555555555552E-2</v>
      </c>
      <c r="I15" s="23">
        <f t="shared" si="9"/>
        <v>0.16666666666666666</v>
      </c>
      <c r="J15" s="23">
        <f t="shared" si="9"/>
        <v>1</v>
      </c>
      <c r="K15" s="23">
        <f t="shared" ref="K15:M17" si="10">K8/$M8</f>
        <v>0.5</v>
      </c>
      <c r="L15" s="23">
        <f t="shared" si="10"/>
        <v>0.5</v>
      </c>
      <c r="M15" s="23">
        <f t="shared" si="10"/>
        <v>1</v>
      </c>
      <c r="N15" s="23">
        <f t="shared" ref="N15" si="11">N8/$Q8</f>
        <v>0.66666666666666663</v>
      </c>
      <c r="O15" s="23">
        <f t="shared" ref="O15:Q15" si="12">O8/$Q8</f>
        <v>0.16666666666666666</v>
      </c>
      <c r="P15" s="23">
        <f t="shared" si="12"/>
        <v>0.16666666666666666</v>
      </c>
      <c r="Q15" s="23">
        <f t="shared" si="12"/>
        <v>1</v>
      </c>
    </row>
    <row r="16" spans="2:17" x14ac:dyDescent="0.35">
      <c r="B16" s="6" t="s">
        <v>255</v>
      </c>
      <c r="C16" s="23">
        <f t="shared" ref="C16:F16" si="13">C9/$F9</f>
        <v>0.52884615384615385</v>
      </c>
      <c r="D16" s="23">
        <f t="shared" si="13"/>
        <v>0.22115384615384615</v>
      </c>
      <c r="E16" s="23">
        <f t="shared" si="13"/>
        <v>0.25</v>
      </c>
      <c r="F16" s="23">
        <f t="shared" si="13"/>
        <v>1</v>
      </c>
      <c r="G16" s="23">
        <f t="shared" ref="G16:J16" si="14">G9/$J9</f>
        <v>0.82524271844660191</v>
      </c>
      <c r="H16" s="23">
        <f t="shared" si="14"/>
        <v>8.7378640776699032E-2</v>
      </c>
      <c r="I16" s="23">
        <f t="shared" si="14"/>
        <v>8.7378640776699032E-2</v>
      </c>
      <c r="J16" s="23">
        <f t="shared" si="14"/>
        <v>1</v>
      </c>
      <c r="K16" s="23">
        <f t="shared" si="10"/>
        <v>0.53333333333333333</v>
      </c>
      <c r="L16" s="23">
        <f t="shared" si="10"/>
        <v>0.46666666666666667</v>
      </c>
      <c r="M16" s="23">
        <f t="shared" si="10"/>
        <v>1</v>
      </c>
      <c r="N16" s="23">
        <f t="shared" ref="N16:Q16" si="15">N9/$Q9</f>
        <v>0.73333333333333328</v>
      </c>
      <c r="O16" s="23">
        <f t="shared" si="15"/>
        <v>0.14285714285714285</v>
      </c>
      <c r="P16" s="23">
        <f t="shared" si="15"/>
        <v>0.12380952380952381</v>
      </c>
      <c r="Q16" s="23">
        <f t="shared" si="15"/>
        <v>1</v>
      </c>
    </row>
    <row r="17" spans="2:17" x14ac:dyDescent="0.35">
      <c r="B17" s="3" t="s">
        <v>180</v>
      </c>
      <c r="C17" s="23">
        <f t="shared" ref="C17:F17" si="16">C10/$F10</f>
        <v>0.54098360655737709</v>
      </c>
      <c r="D17" s="23">
        <f t="shared" si="16"/>
        <v>0.20491803278688525</v>
      </c>
      <c r="E17" s="23">
        <f t="shared" si="16"/>
        <v>0.25409836065573771</v>
      </c>
      <c r="F17" s="23">
        <f t="shared" si="16"/>
        <v>1</v>
      </c>
      <c r="G17" s="23">
        <f t="shared" ref="G17:J17" si="17">G10/$J10</f>
        <v>0.81818181818181823</v>
      </c>
      <c r="H17" s="23">
        <f t="shared" si="17"/>
        <v>8.2644628099173556E-2</v>
      </c>
      <c r="I17" s="23">
        <f t="shared" si="17"/>
        <v>9.9173553719008267E-2</v>
      </c>
      <c r="J17" s="23">
        <f t="shared" si="17"/>
        <v>1</v>
      </c>
      <c r="K17" s="23">
        <f t="shared" si="10"/>
        <v>0.52845528455284552</v>
      </c>
      <c r="L17" s="23">
        <f t="shared" si="10"/>
        <v>0.47154471544715448</v>
      </c>
      <c r="M17" s="23">
        <f t="shared" si="10"/>
        <v>1</v>
      </c>
      <c r="N17" s="23">
        <f t="shared" ref="N17:Q17" si="18">N10/$Q10</f>
        <v>0.72357723577235777</v>
      </c>
      <c r="O17" s="23">
        <f t="shared" si="18"/>
        <v>0.14634146341463414</v>
      </c>
      <c r="P17" s="23">
        <f t="shared" si="18"/>
        <v>0.13008130081300814</v>
      </c>
      <c r="Q17" s="23">
        <f t="shared" si="18"/>
        <v>1</v>
      </c>
    </row>
    <row r="19" spans="2:17" x14ac:dyDescent="0.35">
      <c r="B19" s="3" t="s">
        <v>181</v>
      </c>
    </row>
    <row r="20" spans="2:17" x14ac:dyDescent="0.35">
      <c r="C20" s="48" t="s">
        <v>71</v>
      </c>
      <c r="D20" s="48"/>
      <c r="E20" s="34"/>
      <c r="F20" s="25"/>
      <c r="G20" s="48" t="s">
        <v>74</v>
      </c>
      <c r="H20" s="48"/>
      <c r="I20" s="48"/>
      <c r="J20" s="48"/>
      <c r="K20" s="48" t="s">
        <v>178</v>
      </c>
      <c r="L20" s="48"/>
      <c r="M20" s="48"/>
      <c r="N20" s="48" t="s">
        <v>179</v>
      </c>
      <c r="O20" s="48"/>
      <c r="P20" s="48"/>
      <c r="Q20" s="48"/>
    </row>
    <row r="21" spans="2:17" x14ac:dyDescent="0.35">
      <c r="C21" s="17" t="s">
        <v>273</v>
      </c>
      <c r="D21" s="17" t="s">
        <v>274</v>
      </c>
      <c r="E21" s="17" t="s">
        <v>275</v>
      </c>
      <c r="F21" s="20" t="s">
        <v>180</v>
      </c>
      <c r="G21" s="17" t="s">
        <v>273</v>
      </c>
      <c r="H21" s="17" t="s">
        <v>274</v>
      </c>
      <c r="I21" s="17" t="s">
        <v>275</v>
      </c>
      <c r="J21" s="20" t="s">
        <v>180</v>
      </c>
      <c r="K21" s="17" t="s">
        <v>277</v>
      </c>
      <c r="L21" s="17" t="s">
        <v>274</v>
      </c>
      <c r="M21" s="20" t="s">
        <v>180</v>
      </c>
      <c r="N21" s="17" t="s">
        <v>273</v>
      </c>
      <c r="O21" s="17" t="s">
        <v>274</v>
      </c>
      <c r="P21" s="17" t="s">
        <v>275</v>
      </c>
      <c r="Q21" s="20" t="s">
        <v>180</v>
      </c>
    </row>
    <row r="22" spans="2:17" x14ac:dyDescent="0.35">
      <c r="B22" s="6" t="s">
        <v>254</v>
      </c>
      <c r="C22" s="19">
        <f t="shared" ref="C22" si="19">($F8*C$10)/$F$10</f>
        <v>9.7377049180327866</v>
      </c>
      <c r="D22" s="19">
        <f t="shared" ref="D22:F22" si="20">($F8*D$10)/$F$10</f>
        <v>3.6885245901639343</v>
      </c>
      <c r="E22" s="19">
        <f t="shared" si="20"/>
        <v>4.5737704918032787</v>
      </c>
      <c r="F22" s="19">
        <f t="shared" si="20"/>
        <v>18</v>
      </c>
      <c r="G22" s="19">
        <f t="shared" ref="G22" si="21">($J8*G$10)/$J$10</f>
        <v>14.727272727272727</v>
      </c>
      <c r="H22" s="19">
        <f t="shared" ref="H22:J22" si="22">($J8*H$10)/$J$10</f>
        <v>1.4876033057851239</v>
      </c>
      <c r="I22" s="19">
        <f t="shared" si="22"/>
        <v>1.7851239669421488</v>
      </c>
      <c r="J22" s="19">
        <f t="shared" si="22"/>
        <v>18</v>
      </c>
      <c r="K22" s="19">
        <f t="shared" ref="K22:M24" si="23">($M8*K$10)/$M$10</f>
        <v>9.5121951219512191</v>
      </c>
      <c r="L22" s="19">
        <f t="shared" si="23"/>
        <v>8.4878048780487809</v>
      </c>
      <c r="M22" s="19">
        <f t="shared" si="23"/>
        <v>18</v>
      </c>
      <c r="N22" s="19">
        <f t="shared" ref="N22" si="24">($Q8*N$10)/$Q$10</f>
        <v>13.024390243902438</v>
      </c>
      <c r="O22" s="19">
        <f t="shared" ref="O22:Q22" si="25">($Q8*O$10)/$Q$10</f>
        <v>2.6341463414634148</v>
      </c>
      <c r="P22" s="19">
        <f t="shared" si="25"/>
        <v>2.3414634146341462</v>
      </c>
      <c r="Q22" s="19">
        <f t="shared" si="25"/>
        <v>18</v>
      </c>
    </row>
    <row r="23" spans="2:17" x14ac:dyDescent="0.35">
      <c r="B23" s="6" t="s">
        <v>255</v>
      </c>
      <c r="C23" s="19">
        <f t="shared" ref="C23:F23" si="26">($F9*C$10)/$F$10</f>
        <v>56.26229508196721</v>
      </c>
      <c r="D23" s="19">
        <f t="shared" si="26"/>
        <v>21.311475409836067</v>
      </c>
      <c r="E23" s="19">
        <f t="shared" si="26"/>
        <v>26.42622950819672</v>
      </c>
      <c r="F23" s="19">
        <f t="shared" si="26"/>
        <v>104</v>
      </c>
      <c r="G23" s="19">
        <f t="shared" ref="G23:J23" si="27">($J9*G$10)/$J$10</f>
        <v>84.272727272727266</v>
      </c>
      <c r="H23" s="19">
        <f t="shared" si="27"/>
        <v>8.5123966942148765</v>
      </c>
      <c r="I23" s="19">
        <f t="shared" si="27"/>
        <v>10.214876033057852</v>
      </c>
      <c r="J23" s="19">
        <f t="shared" si="27"/>
        <v>103</v>
      </c>
      <c r="K23" s="19">
        <f t="shared" si="23"/>
        <v>55.487804878048777</v>
      </c>
      <c r="L23" s="19">
        <f t="shared" si="23"/>
        <v>49.512195121951223</v>
      </c>
      <c r="M23" s="19">
        <f t="shared" si="23"/>
        <v>105</v>
      </c>
      <c r="N23" s="19">
        <f t="shared" ref="N23:Q23" si="28">($Q9*N$10)/$Q$10</f>
        <v>75.975609756097555</v>
      </c>
      <c r="O23" s="19">
        <f t="shared" si="28"/>
        <v>15.365853658536585</v>
      </c>
      <c r="P23" s="19">
        <f t="shared" si="28"/>
        <v>13.658536585365853</v>
      </c>
      <c r="Q23" s="19">
        <f t="shared" si="28"/>
        <v>105</v>
      </c>
    </row>
    <row r="24" spans="2:17" x14ac:dyDescent="0.35">
      <c r="B24" s="3" t="s">
        <v>180</v>
      </c>
      <c r="C24" s="19">
        <f t="shared" ref="C24:F24" si="29">($F10*C$10)/$F$10</f>
        <v>66</v>
      </c>
      <c r="D24" s="19">
        <f t="shared" si="29"/>
        <v>25</v>
      </c>
      <c r="E24" s="19">
        <f t="shared" si="29"/>
        <v>31</v>
      </c>
      <c r="F24" s="19">
        <f t="shared" si="29"/>
        <v>122</v>
      </c>
      <c r="G24" s="19">
        <f t="shared" ref="G24:J24" si="30">($J10*G$10)/$J$10</f>
        <v>99</v>
      </c>
      <c r="H24" s="19">
        <f t="shared" si="30"/>
        <v>10</v>
      </c>
      <c r="I24" s="19">
        <f t="shared" si="30"/>
        <v>12</v>
      </c>
      <c r="J24" s="19">
        <f t="shared" si="30"/>
        <v>121</v>
      </c>
      <c r="K24" s="19">
        <f t="shared" si="23"/>
        <v>65</v>
      </c>
      <c r="L24" s="19">
        <f t="shared" si="23"/>
        <v>58</v>
      </c>
      <c r="M24" s="19">
        <f t="shared" si="23"/>
        <v>123</v>
      </c>
      <c r="N24" s="19">
        <f t="shared" ref="N24:Q24" si="31">($Q10*N$10)/$Q$10</f>
        <v>89</v>
      </c>
      <c r="O24" s="19">
        <f t="shared" si="31"/>
        <v>18</v>
      </c>
      <c r="P24" s="19">
        <f t="shared" si="31"/>
        <v>16</v>
      </c>
      <c r="Q24" s="19">
        <f t="shared" si="31"/>
        <v>123</v>
      </c>
    </row>
    <row r="26" spans="2:17" x14ac:dyDescent="0.35">
      <c r="B26" s="3" t="s">
        <v>182</v>
      </c>
    </row>
    <row r="27" spans="2:17" x14ac:dyDescent="0.35">
      <c r="C27" s="48" t="s">
        <v>71</v>
      </c>
      <c r="D27" s="48"/>
      <c r="E27" s="34"/>
      <c r="F27" s="25"/>
      <c r="G27" s="48" t="s">
        <v>74</v>
      </c>
      <c r="H27" s="48"/>
      <c r="I27" s="48"/>
      <c r="J27" s="48"/>
      <c r="K27" s="48" t="s">
        <v>178</v>
      </c>
      <c r="L27" s="48"/>
      <c r="M27" s="48"/>
      <c r="N27" s="48" t="s">
        <v>179</v>
      </c>
      <c r="O27" s="48"/>
      <c r="P27" s="48"/>
      <c r="Q27" s="48"/>
    </row>
    <row r="28" spans="2:17" x14ac:dyDescent="0.35">
      <c r="C28" s="17" t="s">
        <v>273</v>
      </c>
      <c r="D28" s="17" t="s">
        <v>274</v>
      </c>
      <c r="E28" s="17" t="s">
        <v>275</v>
      </c>
      <c r="F28" s="20"/>
      <c r="G28" s="17" t="s">
        <v>273</v>
      </c>
      <c r="H28" s="17" t="s">
        <v>274</v>
      </c>
      <c r="I28" s="17" t="s">
        <v>275</v>
      </c>
      <c r="J28" s="20"/>
      <c r="K28" s="17" t="s">
        <v>277</v>
      </c>
      <c r="L28" s="17" t="s">
        <v>274</v>
      </c>
      <c r="M28" s="20"/>
      <c r="N28" s="17" t="s">
        <v>273</v>
      </c>
      <c r="O28" s="17" t="s">
        <v>274</v>
      </c>
      <c r="P28" s="17" t="s">
        <v>275</v>
      </c>
      <c r="Q28" s="20"/>
    </row>
    <row r="29" spans="2:17" x14ac:dyDescent="0.35">
      <c r="B29" s="6" t="s">
        <v>254</v>
      </c>
      <c r="C29" s="29">
        <f t="shared" ref="C29:C30" si="32">(C8-C22)^2/C22</f>
        <v>0.16363084395871288</v>
      </c>
      <c r="D29" s="29">
        <f t="shared" ref="D29:E29" si="33">(D8-D22)^2/D22</f>
        <v>0.77296903460837885</v>
      </c>
      <c r="E29" s="29">
        <f t="shared" si="33"/>
        <v>3.9720312591809165E-2</v>
      </c>
      <c r="F29" s="29"/>
      <c r="G29" s="29">
        <f>(G8-G22)^2/G22</f>
        <v>3.5914702581369182E-2</v>
      </c>
      <c r="H29" s="29">
        <f t="shared" ref="H29:I29" si="34">(H8-H22)^2/H22</f>
        <v>0.15982552800734615</v>
      </c>
      <c r="I29" s="29">
        <f t="shared" si="34"/>
        <v>0.82679063360881533</v>
      </c>
      <c r="J29" s="29"/>
      <c r="K29" s="29">
        <f>(K8-K22)^2/K22</f>
        <v>2.7579737335834853E-2</v>
      </c>
      <c r="L29" s="29">
        <f t="shared" ref="L29" si="35">(L8-L22)^2/L22</f>
        <v>3.0908326324642504E-2</v>
      </c>
      <c r="M29" s="29"/>
      <c r="N29" s="29">
        <f>(N8-N22)^2/N22</f>
        <v>8.0570019183337768E-2</v>
      </c>
      <c r="O29" s="29">
        <f t="shared" ref="O29:P29" si="36">(O8-O22)^2/O22</f>
        <v>5.0813008130081265E-2</v>
      </c>
      <c r="P29" s="29">
        <f t="shared" si="36"/>
        <v>0.18521341463414642</v>
      </c>
      <c r="Q29" s="21"/>
    </row>
    <row r="30" spans="2:17" x14ac:dyDescent="0.35">
      <c r="B30" s="6" t="s">
        <v>255</v>
      </c>
      <c r="C30" s="29">
        <f t="shared" si="32"/>
        <v>2.8320722992853996E-2</v>
      </c>
      <c r="D30" s="29">
        <f t="shared" ref="D30:E30" si="37">(D9-D23)^2/D23</f>
        <v>0.13378310214375763</v>
      </c>
      <c r="E30" s="29">
        <f t="shared" si="37"/>
        <v>6.8746694870438357E-3</v>
      </c>
      <c r="F30" s="29"/>
      <c r="G30" s="29">
        <f>(G9-G23)^2/G23</f>
        <v>6.2763557909190091E-3</v>
      </c>
      <c r="H30" s="29">
        <f t="shared" ref="H30:I30" si="38">(H9-H23)^2/H23</f>
        <v>2.7930674797400246E-2</v>
      </c>
      <c r="I30" s="29">
        <f t="shared" si="38"/>
        <v>0.14448768354328828</v>
      </c>
      <c r="J30" s="29"/>
      <c r="K30" s="29">
        <f>(K9-K23)^2/K23</f>
        <v>4.727954971857469E-3</v>
      </c>
      <c r="L30" s="29">
        <f t="shared" ref="L30" si="39">(L9-L23)^2/L23</f>
        <v>5.2985702270816459E-3</v>
      </c>
      <c r="M30" s="29"/>
      <c r="N30" s="29">
        <f>(N9-N23)^2/N23</f>
        <v>1.3812003288572383E-2</v>
      </c>
      <c r="O30" s="29">
        <f t="shared" ref="O30:P30" si="40">(O9-O23)^2/O23</f>
        <v>8.7108013937281965E-3</v>
      </c>
      <c r="P30" s="29">
        <f t="shared" si="40"/>
        <v>3.1750871080139347E-2</v>
      </c>
      <c r="Q30" s="21"/>
    </row>
    <row r="31" spans="2:17" x14ac:dyDescent="0.35">
      <c r="B31" s="3"/>
      <c r="C31" s="21"/>
      <c r="D31" s="21"/>
      <c r="E31" s="21"/>
      <c r="F31" s="21"/>
      <c r="G31" s="21"/>
      <c r="H31" s="21"/>
      <c r="I31" s="21"/>
      <c r="J31" s="21"/>
      <c r="K31" s="21"/>
      <c r="L31" s="21"/>
      <c r="M31" s="21"/>
      <c r="N31" s="21"/>
      <c r="O31" s="21"/>
      <c r="P31" s="21"/>
      <c r="Q31" s="21"/>
    </row>
    <row r="32" spans="2:17" x14ac:dyDescent="0.35">
      <c r="B32" s="3" t="s">
        <v>185</v>
      </c>
      <c r="C32" s="21"/>
      <c r="D32" s="19">
        <v>2</v>
      </c>
      <c r="E32" s="19"/>
      <c r="F32" s="21"/>
      <c r="G32" s="19">
        <f>D32</f>
        <v>2</v>
      </c>
      <c r="H32" s="21"/>
      <c r="I32" s="21"/>
      <c r="J32" s="21"/>
      <c r="K32" s="19">
        <v>1</v>
      </c>
      <c r="L32" s="21"/>
      <c r="M32" s="21"/>
      <c r="N32" s="19">
        <f>D32</f>
        <v>2</v>
      </c>
      <c r="O32" s="21"/>
      <c r="P32" s="21"/>
      <c r="Q32" s="21"/>
    </row>
    <row r="33" spans="2:14" x14ac:dyDescent="0.35">
      <c r="B33" s="3" t="s">
        <v>183</v>
      </c>
      <c r="D33" s="13">
        <f>C29+C30+D29+D30+E29+E30</f>
        <v>1.1452986857825562</v>
      </c>
      <c r="E33" s="13"/>
      <c r="F33" s="13"/>
      <c r="G33" s="13">
        <f>G29+H29+G30+H30+I29+I30</f>
        <v>1.2012255783291381</v>
      </c>
      <c r="H33" s="13"/>
      <c r="I33" s="13"/>
      <c r="J33" s="13"/>
      <c r="K33" s="13">
        <f>K29+L29+K30+L30</f>
        <v>6.8514588859416484E-2</v>
      </c>
      <c r="L33" s="13"/>
      <c r="M33" s="13"/>
      <c r="N33" s="13">
        <f>N29+O29+N30+O30+P29+P30</f>
        <v>0.37087011771000539</v>
      </c>
    </row>
    <row r="34" spans="2:14" x14ac:dyDescent="0.35">
      <c r="B34" s="3" t="s">
        <v>184</v>
      </c>
      <c r="D34" s="24">
        <f>_xlfn.CHISQ.DIST.RT(D33,D32)</f>
        <v>0.56402915086365801</v>
      </c>
      <c r="E34" s="32"/>
      <c r="G34" s="24">
        <f>_xlfn.CHISQ.DIST.RT(G33,G32)</f>
        <v>0.54847543329127657</v>
      </c>
      <c r="K34" s="24">
        <f>_xlfn.CHISQ.DIST.RT(K33,K32)</f>
        <v>0.79351194152684901</v>
      </c>
      <c r="N34" s="24">
        <f>_xlfn.CHISQ.DIST.RT(N33,N32)</f>
        <v>0.83074278321673334</v>
      </c>
    </row>
  </sheetData>
  <mergeCells count="16">
    <mergeCell ref="C6:D6"/>
    <mergeCell ref="G6:J6"/>
    <mergeCell ref="K6:M6"/>
    <mergeCell ref="N6:Q6"/>
    <mergeCell ref="C13:D13"/>
    <mergeCell ref="G13:J13"/>
    <mergeCell ref="K13:M13"/>
    <mergeCell ref="N13:Q13"/>
    <mergeCell ref="C20:D20"/>
    <mergeCell ref="G20:J20"/>
    <mergeCell ref="K20:M20"/>
    <mergeCell ref="N20:Q20"/>
    <mergeCell ref="C27:D27"/>
    <mergeCell ref="G27:J27"/>
    <mergeCell ref="K27:M27"/>
    <mergeCell ref="N27:Q27"/>
  </mergeCells>
  <pageMargins left="0.7" right="0.7" top="0.75" bottom="0.75" header="0.3" footer="0.3"/>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topLeftCell="Y1" workbookViewId="0">
      <pane ySplit="1" topLeftCell="A14" activePane="bottomLeft" state="frozen"/>
      <selection pane="bottomLeft" activeCell="Z28" sqref="Z28:Z29"/>
    </sheetView>
  </sheetViews>
  <sheetFormatPr defaultRowHeight="14.5" x14ac:dyDescent="0.35"/>
  <cols>
    <col min="1" max="1" width="10.7265625" bestFit="1" customWidth="1"/>
    <col min="2" max="2" width="8.1796875" bestFit="1" customWidth="1"/>
    <col min="3" max="3" width="10.453125" bestFit="1" customWidth="1"/>
    <col min="4" max="5" width="11.54296875" bestFit="1" customWidth="1"/>
    <col min="6" max="6" width="9" bestFit="1" customWidth="1"/>
    <col min="7" max="7" width="12.1796875" bestFit="1" customWidth="1"/>
    <col min="8" max="8" width="9.26953125" bestFit="1" customWidth="1"/>
    <col min="9" max="9" width="12.453125" style="13" bestFit="1" customWidth="1"/>
    <col min="10" max="10" width="16.1796875" bestFit="1" customWidth="1"/>
    <col min="11" max="11" width="11.453125" style="2" bestFit="1" customWidth="1"/>
    <col min="12" max="12" width="12.26953125" bestFit="1" customWidth="1"/>
    <col min="13" max="13" width="12.26953125" customWidth="1"/>
    <col min="14" max="14" width="9.26953125" bestFit="1" customWidth="1"/>
    <col min="15" max="15" width="10.1796875" bestFit="1" customWidth="1"/>
    <col min="16" max="16" width="10.1796875" customWidth="1"/>
    <col min="17" max="17" width="17.26953125" bestFit="1" customWidth="1"/>
    <col min="18" max="18" width="18.1796875" bestFit="1" customWidth="1"/>
    <col min="19" max="19" width="18.1796875" customWidth="1"/>
    <col min="20" max="20" width="8.1796875" bestFit="1" customWidth="1"/>
    <col min="21" max="21" width="9" bestFit="1" customWidth="1"/>
    <col min="22" max="22" width="9" customWidth="1"/>
    <col min="23" max="23" width="16.453125" customWidth="1"/>
    <col min="24" max="25" width="17.453125" customWidth="1"/>
    <col min="26" max="26" width="14.54296875" style="2" customWidth="1"/>
    <col min="27" max="27" width="7.7265625" style="2" bestFit="1" customWidth="1"/>
    <col min="28" max="28" width="6.453125" style="2" bestFit="1" customWidth="1"/>
    <col min="29" max="29" width="5.26953125" style="2" bestFit="1" customWidth="1"/>
    <col min="30" max="30" width="10.81640625" style="2" bestFit="1" customWidth="1"/>
    <col min="31" max="31" width="10.453125" style="2" bestFit="1" customWidth="1"/>
    <col min="32" max="32" width="9" style="2" bestFit="1" customWidth="1"/>
    <col min="33" max="33" width="7.7265625" style="2" bestFit="1" customWidth="1"/>
    <col min="34" max="34" width="5.81640625" style="2" bestFit="1" customWidth="1"/>
    <col min="35" max="35" width="7.54296875" style="2" bestFit="1" customWidth="1"/>
    <col min="36" max="36" width="4.54296875" style="2" bestFit="1" customWidth="1"/>
    <col min="37" max="37" width="7.7265625" style="2" bestFit="1" customWidth="1"/>
    <col min="38" max="38" width="17.453125" bestFit="1" customWidth="1"/>
    <col min="39" max="39" width="12.1796875" bestFit="1" customWidth="1"/>
  </cols>
  <sheetData>
    <row r="1" spans="1:39" x14ac:dyDescent="0.35">
      <c r="A1" s="3" t="s">
        <v>171</v>
      </c>
      <c r="B1" s="3" t="s">
        <v>0</v>
      </c>
      <c r="C1" s="14" t="s">
        <v>170</v>
      </c>
      <c r="D1" s="14" t="s">
        <v>172</v>
      </c>
      <c r="E1" s="3" t="s">
        <v>161</v>
      </c>
      <c r="F1" s="3" t="s">
        <v>49</v>
      </c>
      <c r="G1" s="3" t="s">
        <v>129</v>
      </c>
      <c r="H1" s="3" t="s">
        <v>131</v>
      </c>
      <c r="I1" s="15" t="s">
        <v>132</v>
      </c>
      <c r="J1" s="3" t="s">
        <v>2</v>
      </c>
      <c r="K1" s="4" t="s">
        <v>143</v>
      </c>
      <c r="L1" s="3" t="s">
        <v>144</v>
      </c>
      <c r="M1" s="3" t="s">
        <v>145</v>
      </c>
      <c r="N1" s="3" t="s">
        <v>147</v>
      </c>
      <c r="O1" s="3" t="s">
        <v>148</v>
      </c>
      <c r="P1" s="3" t="s">
        <v>149</v>
      </c>
      <c r="Q1" s="3" t="s">
        <v>151</v>
      </c>
      <c r="R1" s="3" t="s">
        <v>152</v>
      </c>
      <c r="S1" s="3" t="s">
        <v>153</v>
      </c>
      <c r="T1" s="3" t="s">
        <v>154</v>
      </c>
      <c r="U1" s="3" t="s">
        <v>155</v>
      </c>
      <c r="V1" s="3" t="s">
        <v>156</v>
      </c>
      <c r="W1" s="3" t="s">
        <v>157</v>
      </c>
      <c r="X1" s="3" t="s">
        <v>158</v>
      </c>
      <c r="Y1" s="3" t="s">
        <v>159</v>
      </c>
      <c r="Z1" s="4" t="s">
        <v>4</v>
      </c>
      <c r="AA1" s="4" t="s">
        <v>136</v>
      </c>
      <c r="AB1" s="4" t="s">
        <v>137</v>
      </c>
      <c r="AC1" s="4" t="s">
        <v>5</v>
      </c>
      <c r="AD1" s="4" t="s">
        <v>138</v>
      </c>
      <c r="AE1" s="4" t="s">
        <v>6</v>
      </c>
      <c r="AF1" s="4" t="s">
        <v>38</v>
      </c>
      <c r="AG1" s="4" t="s">
        <v>39</v>
      </c>
      <c r="AH1" s="4" t="s">
        <v>8</v>
      </c>
      <c r="AI1" s="4" t="s">
        <v>47</v>
      </c>
      <c r="AJ1" s="4" t="s">
        <v>9</v>
      </c>
      <c r="AK1" s="4" t="s">
        <v>43</v>
      </c>
      <c r="AL1" s="3" t="s">
        <v>140</v>
      </c>
      <c r="AM1" s="3" t="s">
        <v>139</v>
      </c>
    </row>
    <row r="2" spans="1:39" x14ac:dyDescent="0.35">
      <c r="A2">
        <v>36</v>
      </c>
      <c r="B2" t="s">
        <v>16</v>
      </c>
      <c r="C2">
        <v>1.61</v>
      </c>
      <c r="D2">
        <v>146</v>
      </c>
      <c r="E2" t="s">
        <v>52</v>
      </c>
      <c r="F2" t="s">
        <v>56</v>
      </c>
      <c r="G2" t="s">
        <v>166</v>
      </c>
      <c r="H2">
        <v>1</v>
      </c>
      <c r="I2" s="13">
        <v>1</v>
      </c>
      <c r="J2">
        <v>1</v>
      </c>
      <c r="K2" s="2">
        <v>2</v>
      </c>
      <c r="L2">
        <v>1</v>
      </c>
      <c r="M2" s="2">
        <f t="shared" ref="M2:M9" si="0">L2-K2</f>
        <v>-1</v>
      </c>
      <c r="N2">
        <v>3</v>
      </c>
      <c r="O2">
        <v>2</v>
      </c>
      <c r="P2">
        <f t="shared" ref="P2:P9" si="1">O2-N2</f>
        <v>-1</v>
      </c>
      <c r="Q2">
        <v>1</v>
      </c>
      <c r="R2">
        <v>1</v>
      </c>
      <c r="S2">
        <f t="shared" ref="S2:S9" si="2">R2-Q2</f>
        <v>0</v>
      </c>
      <c r="T2">
        <v>2</v>
      </c>
      <c r="U2">
        <v>2</v>
      </c>
      <c r="V2">
        <f t="shared" ref="V2:V9" si="3">U2-T2</f>
        <v>0</v>
      </c>
      <c r="W2">
        <v>2</v>
      </c>
      <c r="X2">
        <v>2</v>
      </c>
      <c r="Y2">
        <f t="shared" ref="Y2:Y9" si="4">X2-W2</f>
        <v>0</v>
      </c>
      <c r="Z2" s="2">
        <v>1</v>
      </c>
      <c r="AA2" s="5">
        <v>0</v>
      </c>
      <c r="AB2" s="5">
        <v>1</v>
      </c>
      <c r="AC2">
        <f t="shared" ref="AC2:AC9" si="5">IF(AA2+AB2&gt;0,1,0)</f>
        <v>1</v>
      </c>
      <c r="AD2" s="2">
        <v>1</v>
      </c>
      <c r="AE2" s="2">
        <v>0</v>
      </c>
      <c r="AF2" s="2">
        <v>0</v>
      </c>
      <c r="AG2" s="2">
        <v>0</v>
      </c>
      <c r="AH2" s="5">
        <v>1</v>
      </c>
      <c r="AI2" s="5">
        <v>1</v>
      </c>
      <c r="AJ2" s="2">
        <v>0</v>
      </c>
      <c r="AK2" s="2">
        <v>0</v>
      </c>
      <c r="AL2">
        <f t="shared" ref="AL2:AL9" si="6">IF(Z2+AC2+AD2+AE2+AG2+AJ2+AK2=0,1,0)</f>
        <v>0</v>
      </c>
      <c r="AM2" t="s">
        <v>8</v>
      </c>
    </row>
    <row r="3" spans="1:39" x14ac:dyDescent="0.35">
      <c r="A3">
        <v>50</v>
      </c>
      <c r="B3" t="s">
        <v>16</v>
      </c>
      <c r="C3">
        <v>1.61</v>
      </c>
      <c r="D3" s="2">
        <v>145</v>
      </c>
      <c r="E3" t="s">
        <v>52</v>
      </c>
      <c r="F3" t="s">
        <v>55</v>
      </c>
      <c r="G3" t="s">
        <v>166</v>
      </c>
      <c r="H3">
        <v>1</v>
      </c>
      <c r="I3" s="13">
        <v>0.75</v>
      </c>
      <c r="J3">
        <v>1</v>
      </c>
      <c r="K3" s="2">
        <v>5</v>
      </c>
      <c r="L3">
        <v>1</v>
      </c>
      <c r="M3" s="2">
        <f t="shared" si="0"/>
        <v>-4</v>
      </c>
      <c r="N3">
        <v>8</v>
      </c>
      <c r="O3">
        <v>6</v>
      </c>
      <c r="P3">
        <f t="shared" si="1"/>
        <v>-2</v>
      </c>
      <c r="Q3">
        <v>2</v>
      </c>
      <c r="R3">
        <v>2</v>
      </c>
      <c r="S3">
        <f t="shared" si="2"/>
        <v>0</v>
      </c>
      <c r="T3">
        <v>4</v>
      </c>
      <c r="U3">
        <v>2</v>
      </c>
      <c r="V3">
        <f t="shared" si="3"/>
        <v>-2</v>
      </c>
      <c r="W3">
        <v>2</v>
      </c>
      <c r="X3">
        <v>2</v>
      </c>
      <c r="Y3">
        <f t="shared" si="4"/>
        <v>0</v>
      </c>
      <c r="Z3" s="2">
        <v>1</v>
      </c>
      <c r="AA3" s="5">
        <v>1</v>
      </c>
      <c r="AB3" s="5">
        <v>1</v>
      </c>
      <c r="AC3">
        <f t="shared" si="5"/>
        <v>1</v>
      </c>
      <c r="AD3" s="2">
        <v>1</v>
      </c>
      <c r="AE3" s="2">
        <v>1</v>
      </c>
      <c r="AF3" s="2">
        <v>0</v>
      </c>
      <c r="AG3" s="2">
        <v>0</v>
      </c>
      <c r="AH3" s="2">
        <v>0</v>
      </c>
      <c r="AI3" s="2">
        <v>0</v>
      </c>
      <c r="AJ3" s="2">
        <v>0</v>
      </c>
      <c r="AK3" s="2">
        <v>0</v>
      </c>
      <c r="AL3">
        <f t="shared" si="6"/>
        <v>0</v>
      </c>
      <c r="AM3" t="s">
        <v>4</v>
      </c>
    </row>
    <row r="4" spans="1:39" x14ac:dyDescent="0.35">
      <c r="A4">
        <v>56</v>
      </c>
      <c r="B4" t="s">
        <v>16</v>
      </c>
      <c r="C4">
        <v>1.61</v>
      </c>
      <c r="D4" s="2">
        <v>39</v>
      </c>
      <c r="E4" t="s">
        <v>52</v>
      </c>
      <c r="F4" t="s">
        <v>54</v>
      </c>
      <c r="G4" t="s">
        <v>167</v>
      </c>
      <c r="H4">
        <v>1</v>
      </c>
      <c r="I4" s="13">
        <v>0.75</v>
      </c>
      <c r="J4">
        <v>1</v>
      </c>
      <c r="K4" s="2">
        <v>1</v>
      </c>
      <c r="L4">
        <v>1</v>
      </c>
      <c r="M4" s="2">
        <f t="shared" si="0"/>
        <v>0</v>
      </c>
      <c r="N4">
        <v>8</v>
      </c>
      <c r="O4">
        <v>4</v>
      </c>
      <c r="P4">
        <f t="shared" si="1"/>
        <v>-4</v>
      </c>
      <c r="Q4">
        <v>2</v>
      </c>
      <c r="R4">
        <v>2</v>
      </c>
      <c r="S4">
        <f t="shared" si="2"/>
        <v>0</v>
      </c>
      <c r="T4">
        <v>3</v>
      </c>
      <c r="U4">
        <v>2</v>
      </c>
      <c r="V4">
        <f t="shared" si="3"/>
        <v>-1</v>
      </c>
      <c r="W4">
        <v>0</v>
      </c>
      <c r="X4">
        <v>0</v>
      </c>
      <c r="Y4">
        <f t="shared" si="4"/>
        <v>0</v>
      </c>
      <c r="Z4" s="2">
        <v>0</v>
      </c>
      <c r="AA4" s="5">
        <v>1</v>
      </c>
      <c r="AB4" s="5">
        <v>0</v>
      </c>
      <c r="AC4">
        <f t="shared" si="5"/>
        <v>1</v>
      </c>
      <c r="AD4" s="2">
        <v>0</v>
      </c>
      <c r="AE4" s="2">
        <v>0</v>
      </c>
      <c r="AF4" s="2">
        <v>0</v>
      </c>
      <c r="AG4" s="2">
        <v>1</v>
      </c>
      <c r="AH4" s="2">
        <v>0</v>
      </c>
      <c r="AI4" s="2">
        <v>0</v>
      </c>
      <c r="AJ4" s="2">
        <v>0</v>
      </c>
      <c r="AK4" s="2">
        <v>0</v>
      </c>
      <c r="AL4">
        <f t="shared" si="6"/>
        <v>0</v>
      </c>
      <c r="AM4" t="s">
        <v>136</v>
      </c>
    </row>
    <row r="5" spans="1:39" x14ac:dyDescent="0.35">
      <c r="A5">
        <v>60</v>
      </c>
      <c r="B5" t="s">
        <v>16</v>
      </c>
      <c r="C5">
        <v>1.61</v>
      </c>
      <c r="D5" s="2">
        <v>7</v>
      </c>
      <c r="E5" t="s">
        <v>52</v>
      </c>
      <c r="F5" t="s">
        <v>55</v>
      </c>
      <c r="G5" t="s">
        <v>166</v>
      </c>
      <c r="H5">
        <v>1</v>
      </c>
      <c r="I5" s="13">
        <v>1</v>
      </c>
      <c r="J5">
        <v>1</v>
      </c>
      <c r="K5" s="2">
        <v>8</v>
      </c>
      <c r="L5">
        <v>8</v>
      </c>
      <c r="M5" s="2">
        <f t="shared" si="0"/>
        <v>0</v>
      </c>
      <c r="N5">
        <v>1</v>
      </c>
      <c r="O5">
        <v>1</v>
      </c>
      <c r="P5">
        <f t="shared" si="1"/>
        <v>0</v>
      </c>
      <c r="Q5">
        <v>3</v>
      </c>
      <c r="R5">
        <v>3</v>
      </c>
      <c r="S5">
        <f t="shared" si="2"/>
        <v>0</v>
      </c>
      <c r="T5">
        <v>4</v>
      </c>
      <c r="U5">
        <v>4</v>
      </c>
      <c r="V5">
        <f t="shared" si="3"/>
        <v>0</v>
      </c>
      <c r="W5">
        <v>2</v>
      </c>
      <c r="X5">
        <v>2</v>
      </c>
      <c r="Y5">
        <f t="shared" si="4"/>
        <v>0</v>
      </c>
      <c r="Z5" s="2">
        <v>0</v>
      </c>
      <c r="AA5" s="5">
        <v>1</v>
      </c>
      <c r="AB5" s="5">
        <v>0</v>
      </c>
      <c r="AC5">
        <f t="shared" si="5"/>
        <v>1</v>
      </c>
      <c r="AD5" s="2">
        <v>0</v>
      </c>
      <c r="AE5" s="2">
        <v>0</v>
      </c>
      <c r="AF5" s="2">
        <v>0</v>
      </c>
      <c r="AG5" s="2">
        <v>0</v>
      </c>
      <c r="AH5" s="5">
        <v>1</v>
      </c>
      <c r="AI5" s="5">
        <v>1</v>
      </c>
      <c r="AJ5" s="2">
        <v>0</v>
      </c>
      <c r="AK5" s="2">
        <v>0</v>
      </c>
      <c r="AL5">
        <f t="shared" si="6"/>
        <v>0</v>
      </c>
      <c r="AM5" t="s">
        <v>140</v>
      </c>
    </row>
    <row r="6" spans="1:39" x14ac:dyDescent="0.35">
      <c r="A6">
        <v>69</v>
      </c>
      <c r="B6" t="s">
        <v>16</v>
      </c>
      <c r="C6">
        <v>1.61</v>
      </c>
      <c r="D6" s="2">
        <v>7</v>
      </c>
      <c r="E6" t="s">
        <v>52</v>
      </c>
      <c r="F6" t="s">
        <v>56</v>
      </c>
      <c r="G6" t="s">
        <v>166</v>
      </c>
      <c r="H6">
        <v>1</v>
      </c>
      <c r="I6" s="13">
        <v>1</v>
      </c>
      <c r="J6">
        <v>1</v>
      </c>
      <c r="K6" s="2">
        <v>16</v>
      </c>
      <c r="L6">
        <v>15</v>
      </c>
      <c r="M6" s="2">
        <f t="shared" si="0"/>
        <v>-1</v>
      </c>
      <c r="N6">
        <v>5</v>
      </c>
      <c r="O6">
        <v>1</v>
      </c>
      <c r="P6">
        <f t="shared" si="1"/>
        <v>-4</v>
      </c>
      <c r="Q6">
        <v>3</v>
      </c>
      <c r="R6">
        <v>3</v>
      </c>
      <c r="S6">
        <f t="shared" si="2"/>
        <v>0</v>
      </c>
      <c r="T6">
        <v>3</v>
      </c>
      <c r="U6">
        <v>3</v>
      </c>
      <c r="V6">
        <f t="shared" si="3"/>
        <v>0</v>
      </c>
      <c r="W6">
        <v>1</v>
      </c>
      <c r="X6">
        <v>2</v>
      </c>
      <c r="Y6">
        <f t="shared" si="4"/>
        <v>1</v>
      </c>
      <c r="Z6" s="2">
        <v>0</v>
      </c>
      <c r="AA6" s="5">
        <v>1</v>
      </c>
      <c r="AB6" s="5">
        <v>1</v>
      </c>
      <c r="AC6">
        <f t="shared" si="5"/>
        <v>1</v>
      </c>
      <c r="AD6" s="2">
        <v>1</v>
      </c>
      <c r="AE6" s="2">
        <v>1</v>
      </c>
      <c r="AF6" s="2">
        <v>0</v>
      </c>
      <c r="AG6" s="2">
        <v>1</v>
      </c>
      <c r="AH6" s="5">
        <v>1</v>
      </c>
      <c r="AI6" s="5">
        <v>0</v>
      </c>
      <c r="AJ6" s="2">
        <v>1</v>
      </c>
      <c r="AK6" s="2">
        <v>0</v>
      </c>
      <c r="AL6">
        <f t="shared" si="6"/>
        <v>0</v>
      </c>
      <c r="AM6" t="s">
        <v>137</v>
      </c>
    </row>
    <row r="7" spans="1:39" x14ac:dyDescent="0.35">
      <c r="A7">
        <v>71</v>
      </c>
      <c r="B7" t="s">
        <v>16</v>
      </c>
      <c r="C7">
        <v>1.61</v>
      </c>
      <c r="D7" s="2">
        <v>9</v>
      </c>
      <c r="E7" t="s">
        <v>52</v>
      </c>
      <c r="F7" t="s">
        <v>54</v>
      </c>
      <c r="G7" t="s">
        <v>166</v>
      </c>
      <c r="H7">
        <v>1</v>
      </c>
      <c r="I7" s="13">
        <v>1</v>
      </c>
      <c r="J7">
        <v>1</v>
      </c>
      <c r="K7" s="2">
        <v>4</v>
      </c>
      <c r="L7">
        <v>3</v>
      </c>
      <c r="M7" s="2">
        <f t="shared" si="0"/>
        <v>-1</v>
      </c>
      <c r="N7">
        <v>9</v>
      </c>
      <c r="O7">
        <v>1</v>
      </c>
      <c r="P7">
        <f t="shared" si="1"/>
        <v>-8</v>
      </c>
      <c r="Q7">
        <v>2</v>
      </c>
      <c r="R7">
        <v>2</v>
      </c>
      <c r="S7">
        <f t="shared" si="2"/>
        <v>0</v>
      </c>
      <c r="T7">
        <v>2</v>
      </c>
      <c r="U7">
        <v>3</v>
      </c>
      <c r="V7">
        <f t="shared" si="3"/>
        <v>1</v>
      </c>
      <c r="W7">
        <v>1</v>
      </c>
      <c r="X7">
        <v>2</v>
      </c>
      <c r="Y7">
        <f t="shared" si="4"/>
        <v>1</v>
      </c>
      <c r="Z7" s="2">
        <v>0</v>
      </c>
      <c r="AA7" s="5">
        <v>0</v>
      </c>
      <c r="AB7" s="5">
        <v>0</v>
      </c>
      <c r="AC7">
        <f t="shared" si="5"/>
        <v>0</v>
      </c>
      <c r="AD7" s="2">
        <v>0</v>
      </c>
      <c r="AE7" s="2">
        <v>0</v>
      </c>
      <c r="AF7" s="2">
        <v>0</v>
      </c>
      <c r="AG7" s="2">
        <v>1</v>
      </c>
      <c r="AH7" s="5">
        <v>1</v>
      </c>
      <c r="AI7" s="5">
        <v>0</v>
      </c>
      <c r="AJ7" s="2">
        <v>1</v>
      </c>
      <c r="AK7" s="2">
        <v>0</v>
      </c>
      <c r="AL7">
        <f t="shared" si="6"/>
        <v>0</v>
      </c>
      <c r="AM7" t="s">
        <v>8</v>
      </c>
    </row>
    <row r="8" spans="1:39" x14ac:dyDescent="0.35">
      <c r="A8">
        <v>74</v>
      </c>
      <c r="B8" t="s">
        <v>16</v>
      </c>
      <c r="C8">
        <v>1.61</v>
      </c>
      <c r="D8" s="5">
        <v>8</v>
      </c>
      <c r="E8" t="s">
        <v>52</v>
      </c>
      <c r="F8" t="s">
        <v>56</v>
      </c>
      <c r="G8" t="s">
        <v>166</v>
      </c>
      <c r="H8">
        <v>1</v>
      </c>
      <c r="I8" s="13">
        <v>1</v>
      </c>
      <c r="J8">
        <v>1</v>
      </c>
      <c r="K8" s="2">
        <v>6</v>
      </c>
      <c r="L8">
        <v>6</v>
      </c>
      <c r="M8" s="2">
        <f t="shared" si="0"/>
        <v>0</v>
      </c>
      <c r="N8">
        <v>4</v>
      </c>
      <c r="O8">
        <v>2</v>
      </c>
      <c r="P8">
        <f t="shared" si="1"/>
        <v>-2</v>
      </c>
      <c r="Q8">
        <v>2</v>
      </c>
      <c r="R8">
        <v>1</v>
      </c>
      <c r="S8">
        <f t="shared" si="2"/>
        <v>-1</v>
      </c>
      <c r="T8">
        <v>4</v>
      </c>
      <c r="U8">
        <v>2</v>
      </c>
      <c r="V8">
        <f t="shared" si="3"/>
        <v>-2</v>
      </c>
      <c r="W8">
        <v>2</v>
      </c>
      <c r="X8">
        <v>2</v>
      </c>
      <c r="Y8">
        <f t="shared" si="4"/>
        <v>0</v>
      </c>
      <c r="Z8" s="2">
        <v>1</v>
      </c>
      <c r="AA8" s="5">
        <v>1</v>
      </c>
      <c r="AB8" s="5">
        <v>0</v>
      </c>
      <c r="AC8">
        <f t="shared" si="5"/>
        <v>1</v>
      </c>
      <c r="AD8" s="2">
        <v>1</v>
      </c>
      <c r="AE8" s="2">
        <v>1</v>
      </c>
      <c r="AF8" s="2">
        <v>0</v>
      </c>
      <c r="AG8" s="2">
        <v>1</v>
      </c>
      <c r="AH8" s="5">
        <v>1</v>
      </c>
      <c r="AI8" s="5">
        <v>0</v>
      </c>
      <c r="AJ8" s="2">
        <v>1</v>
      </c>
      <c r="AK8" s="2">
        <v>0</v>
      </c>
      <c r="AL8">
        <f t="shared" si="6"/>
        <v>0</v>
      </c>
      <c r="AM8" s="9" t="s">
        <v>6</v>
      </c>
    </row>
    <row r="9" spans="1:39" x14ac:dyDescent="0.35">
      <c r="A9">
        <v>108</v>
      </c>
      <c r="B9" t="s">
        <v>16</v>
      </c>
      <c r="C9">
        <v>1.61</v>
      </c>
      <c r="D9" s="2">
        <v>8</v>
      </c>
      <c r="E9" t="s">
        <v>52</v>
      </c>
      <c r="F9" t="s">
        <v>53</v>
      </c>
      <c r="G9" t="s">
        <v>166</v>
      </c>
      <c r="H9">
        <v>1</v>
      </c>
      <c r="I9" s="13">
        <v>0.75</v>
      </c>
      <c r="J9">
        <v>1</v>
      </c>
      <c r="K9" s="2">
        <v>13</v>
      </c>
      <c r="L9">
        <v>1</v>
      </c>
      <c r="M9" s="2">
        <f t="shared" si="0"/>
        <v>-12</v>
      </c>
      <c r="N9">
        <v>8</v>
      </c>
      <c r="O9">
        <v>1</v>
      </c>
      <c r="P9">
        <f t="shared" si="1"/>
        <v>-7</v>
      </c>
      <c r="Q9">
        <v>1</v>
      </c>
      <c r="R9">
        <v>1</v>
      </c>
      <c r="S9">
        <f t="shared" si="2"/>
        <v>0</v>
      </c>
      <c r="T9">
        <v>1</v>
      </c>
      <c r="U9">
        <v>1</v>
      </c>
      <c r="V9">
        <f t="shared" si="3"/>
        <v>0</v>
      </c>
      <c r="W9">
        <v>0</v>
      </c>
      <c r="X9">
        <v>1</v>
      </c>
      <c r="Y9">
        <f t="shared" si="4"/>
        <v>1</v>
      </c>
      <c r="Z9" s="2">
        <v>0</v>
      </c>
      <c r="AA9" s="2">
        <v>1</v>
      </c>
      <c r="AB9" s="2">
        <v>1</v>
      </c>
      <c r="AC9">
        <f t="shared" si="5"/>
        <v>1</v>
      </c>
      <c r="AD9" s="2">
        <v>1</v>
      </c>
      <c r="AE9" s="2">
        <v>1</v>
      </c>
      <c r="AF9" s="2">
        <v>0</v>
      </c>
      <c r="AG9" s="2">
        <v>1</v>
      </c>
      <c r="AH9" s="2">
        <v>0</v>
      </c>
      <c r="AI9" s="2">
        <v>1</v>
      </c>
      <c r="AJ9" s="2">
        <v>0</v>
      </c>
      <c r="AK9" s="2">
        <v>0</v>
      </c>
      <c r="AL9">
        <f t="shared" si="6"/>
        <v>0</v>
      </c>
      <c r="AM9" t="s">
        <v>137</v>
      </c>
    </row>
    <row r="10" spans="1:39" x14ac:dyDescent="0.35">
      <c r="A10">
        <v>128</v>
      </c>
      <c r="B10" t="s">
        <v>16</v>
      </c>
      <c r="C10">
        <v>1.61</v>
      </c>
      <c r="D10" s="2">
        <v>9</v>
      </c>
      <c r="E10" t="s">
        <v>52</v>
      </c>
      <c r="F10" t="s">
        <v>56</v>
      </c>
      <c r="G10" t="s">
        <v>167</v>
      </c>
      <c r="H10">
        <v>1</v>
      </c>
      <c r="I10" s="13">
        <v>1</v>
      </c>
      <c r="J10">
        <v>1</v>
      </c>
      <c r="K10" s="2">
        <v>5</v>
      </c>
      <c r="L10">
        <v>5</v>
      </c>
      <c r="M10" s="2">
        <f t="shared" ref="M10:M17" si="7">L10-K10</f>
        <v>0</v>
      </c>
      <c r="N10">
        <v>10</v>
      </c>
      <c r="O10">
        <v>1</v>
      </c>
      <c r="P10">
        <f t="shared" ref="P10:P17" si="8">O10-N10</f>
        <v>-9</v>
      </c>
      <c r="Q10">
        <v>2</v>
      </c>
      <c r="R10">
        <v>2</v>
      </c>
      <c r="S10">
        <f t="shared" ref="S10:S17" si="9">R10-Q10</f>
        <v>0</v>
      </c>
      <c r="T10">
        <v>3</v>
      </c>
      <c r="U10">
        <v>2</v>
      </c>
      <c r="V10">
        <f t="shared" ref="V10:V17" si="10">U10-T10</f>
        <v>-1</v>
      </c>
      <c r="W10">
        <v>2</v>
      </c>
      <c r="X10">
        <v>2</v>
      </c>
      <c r="Y10">
        <f t="shared" ref="Y10:Y17" si="11">X10-W10</f>
        <v>0</v>
      </c>
      <c r="Z10" s="2">
        <v>0</v>
      </c>
      <c r="AA10" s="2">
        <v>1</v>
      </c>
      <c r="AB10" s="2">
        <v>0</v>
      </c>
      <c r="AC10">
        <f t="shared" ref="AC10:AC17" si="12">IF(AA10+AB10&gt;0,1,0)</f>
        <v>1</v>
      </c>
      <c r="AD10" s="2">
        <v>0</v>
      </c>
      <c r="AE10" s="2">
        <v>0</v>
      </c>
      <c r="AF10" s="2">
        <v>1</v>
      </c>
      <c r="AG10" s="2">
        <v>0</v>
      </c>
      <c r="AH10" s="2">
        <v>0</v>
      </c>
      <c r="AI10" s="2">
        <v>0</v>
      </c>
      <c r="AJ10" s="2">
        <v>1</v>
      </c>
      <c r="AK10" s="2">
        <v>1</v>
      </c>
      <c r="AL10">
        <f t="shared" ref="AL10:AL17" si="13">IF(Z10+AC10+AD10+AE10+AG10+AJ10+AK10=0,1,0)</f>
        <v>0</v>
      </c>
      <c r="AM10" t="s">
        <v>38</v>
      </c>
    </row>
    <row r="11" spans="1:39" x14ac:dyDescent="0.35">
      <c r="A11">
        <v>132</v>
      </c>
      <c r="B11" t="s">
        <v>16</v>
      </c>
      <c r="C11">
        <v>1.61</v>
      </c>
      <c r="D11" s="2">
        <v>7</v>
      </c>
      <c r="E11" t="s">
        <v>52</v>
      </c>
      <c r="F11" t="s">
        <v>55</v>
      </c>
      <c r="G11" t="s">
        <v>167</v>
      </c>
      <c r="H11">
        <v>1</v>
      </c>
      <c r="I11" s="13">
        <v>1</v>
      </c>
      <c r="J11">
        <v>1</v>
      </c>
      <c r="K11" s="2">
        <v>10</v>
      </c>
      <c r="L11">
        <v>10</v>
      </c>
      <c r="M11" s="2">
        <f t="shared" si="7"/>
        <v>0</v>
      </c>
      <c r="N11">
        <v>8</v>
      </c>
      <c r="O11">
        <v>2</v>
      </c>
      <c r="P11">
        <f t="shared" si="8"/>
        <v>-6</v>
      </c>
      <c r="Q11">
        <v>3</v>
      </c>
      <c r="R11">
        <v>3</v>
      </c>
      <c r="S11">
        <f t="shared" si="9"/>
        <v>0</v>
      </c>
      <c r="T11">
        <v>1</v>
      </c>
      <c r="U11">
        <v>3</v>
      </c>
      <c r="V11">
        <f t="shared" si="10"/>
        <v>2</v>
      </c>
      <c r="W11">
        <v>1</v>
      </c>
      <c r="X11">
        <v>2</v>
      </c>
      <c r="Y11">
        <f t="shared" si="11"/>
        <v>1</v>
      </c>
      <c r="Z11" s="2">
        <v>0</v>
      </c>
      <c r="AA11" s="2">
        <v>1</v>
      </c>
      <c r="AB11" s="2">
        <v>0</v>
      </c>
      <c r="AC11">
        <f t="shared" si="12"/>
        <v>1</v>
      </c>
      <c r="AD11" s="2">
        <v>0</v>
      </c>
      <c r="AE11" s="2">
        <v>1</v>
      </c>
      <c r="AF11" s="2">
        <v>0</v>
      </c>
      <c r="AG11" s="2">
        <v>1</v>
      </c>
      <c r="AH11" s="2">
        <v>1</v>
      </c>
      <c r="AI11" s="2">
        <v>1</v>
      </c>
      <c r="AJ11" s="2">
        <v>0</v>
      </c>
      <c r="AK11" s="2">
        <v>0</v>
      </c>
      <c r="AL11">
        <f t="shared" si="13"/>
        <v>0</v>
      </c>
      <c r="AM11" t="s">
        <v>6</v>
      </c>
    </row>
    <row r="12" spans="1:39" x14ac:dyDescent="0.35">
      <c r="A12" s="7">
        <v>192</v>
      </c>
      <c r="B12" s="7" t="s">
        <v>163</v>
      </c>
      <c r="C12" s="7">
        <v>-0.37</v>
      </c>
      <c r="D12" s="12">
        <v>14</v>
      </c>
      <c r="E12" s="7" t="s">
        <v>52</v>
      </c>
      <c r="F12" s="7" t="s">
        <v>54</v>
      </c>
      <c r="G12" t="s">
        <v>166</v>
      </c>
      <c r="H12" s="7">
        <v>1</v>
      </c>
      <c r="I12" s="16">
        <v>0.25</v>
      </c>
      <c r="J12" s="7">
        <v>1</v>
      </c>
      <c r="K12" s="12">
        <v>3</v>
      </c>
      <c r="L12" s="7">
        <v>3</v>
      </c>
      <c r="M12" s="2">
        <f t="shared" si="7"/>
        <v>0</v>
      </c>
      <c r="N12" s="9">
        <v>9</v>
      </c>
      <c r="O12" s="9">
        <v>7</v>
      </c>
      <c r="P12">
        <f t="shared" si="8"/>
        <v>-2</v>
      </c>
      <c r="Q12" s="9">
        <v>3</v>
      </c>
      <c r="R12" s="9">
        <v>3</v>
      </c>
      <c r="S12">
        <f t="shared" si="9"/>
        <v>0</v>
      </c>
      <c r="T12">
        <v>4</v>
      </c>
      <c r="U12">
        <v>4</v>
      </c>
      <c r="V12">
        <f t="shared" si="10"/>
        <v>0</v>
      </c>
      <c r="W12">
        <v>1</v>
      </c>
      <c r="X12">
        <v>1</v>
      </c>
      <c r="Y12">
        <f t="shared" si="11"/>
        <v>0</v>
      </c>
      <c r="Z12" s="12">
        <v>0</v>
      </c>
      <c r="AA12" s="12">
        <v>1</v>
      </c>
      <c r="AB12" s="12">
        <v>1</v>
      </c>
      <c r="AC12" s="12">
        <f t="shared" si="12"/>
        <v>1</v>
      </c>
      <c r="AD12" s="12">
        <v>1</v>
      </c>
      <c r="AE12" s="12">
        <v>0</v>
      </c>
      <c r="AF12" s="12">
        <v>0</v>
      </c>
      <c r="AG12" s="12">
        <v>1</v>
      </c>
      <c r="AH12" s="12">
        <v>0</v>
      </c>
      <c r="AI12" s="12">
        <v>0</v>
      </c>
      <c r="AJ12" s="12">
        <v>0</v>
      </c>
      <c r="AK12" s="12">
        <v>1</v>
      </c>
      <c r="AL12">
        <f t="shared" si="13"/>
        <v>0</v>
      </c>
      <c r="AM12" s="12" t="s">
        <v>137</v>
      </c>
    </row>
    <row r="13" spans="1:39" x14ac:dyDescent="0.35">
      <c r="A13" s="7">
        <v>193</v>
      </c>
      <c r="B13" s="7" t="s">
        <v>163</v>
      </c>
      <c r="C13" s="7">
        <v>-0.37</v>
      </c>
      <c r="D13" s="2">
        <v>7</v>
      </c>
      <c r="E13" s="7" t="s">
        <v>52</v>
      </c>
      <c r="F13" t="s">
        <v>55</v>
      </c>
      <c r="G13" s="7" t="s">
        <v>167</v>
      </c>
      <c r="H13" s="7">
        <v>1</v>
      </c>
      <c r="I13" s="13">
        <v>0.25</v>
      </c>
      <c r="J13" s="7">
        <v>1</v>
      </c>
      <c r="K13" s="12">
        <v>4</v>
      </c>
      <c r="L13" s="7">
        <v>1</v>
      </c>
      <c r="M13" s="2">
        <f t="shared" si="7"/>
        <v>-3</v>
      </c>
      <c r="N13" s="9">
        <v>9</v>
      </c>
      <c r="O13" s="9">
        <v>6</v>
      </c>
      <c r="P13">
        <f t="shared" si="8"/>
        <v>-3</v>
      </c>
      <c r="Q13" s="9">
        <v>3</v>
      </c>
      <c r="R13" s="9">
        <v>3</v>
      </c>
      <c r="S13">
        <f t="shared" si="9"/>
        <v>0</v>
      </c>
      <c r="T13">
        <v>5</v>
      </c>
      <c r="U13">
        <v>3</v>
      </c>
      <c r="V13">
        <f t="shared" si="10"/>
        <v>-2</v>
      </c>
      <c r="W13">
        <v>2</v>
      </c>
      <c r="X13">
        <v>2</v>
      </c>
      <c r="Y13">
        <f t="shared" si="11"/>
        <v>0</v>
      </c>
      <c r="Z13" s="2">
        <v>0</v>
      </c>
      <c r="AA13" s="2">
        <v>0</v>
      </c>
      <c r="AB13" s="2">
        <v>0</v>
      </c>
      <c r="AC13" s="2">
        <f t="shared" si="12"/>
        <v>0</v>
      </c>
      <c r="AD13" s="2">
        <v>0</v>
      </c>
      <c r="AE13" s="2">
        <v>0</v>
      </c>
      <c r="AF13" s="2">
        <v>0</v>
      </c>
      <c r="AG13" s="2">
        <v>0</v>
      </c>
      <c r="AH13" s="2">
        <v>1</v>
      </c>
      <c r="AI13" s="2">
        <v>0</v>
      </c>
      <c r="AJ13" s="2">
        <v>0</v>
      </c>
      <c r="AK13" s="2">
        <v>0</v>
      </c>
      <c r="AL13">
        <f t="shared" si="13"/>
        <v>1</v>
      </c>
      <c r="AM13" s="2" t="s">
        <v>140</v>
      </c>
    </row>
    <row r="14" spans="1:39" x14ac:dyDescent="0.35">
      <c r="A14" s="7">
        <v>194</v>
      </c>
      <c r="B14" s="7" t="s">
        <v>163</v>
      </c>
      <c r="C14" s="7">
        <v>-0.37</v>
      </c>
      <c r="D14" s="2">
        <v>90</v>
      </c>
      <c r="E14" s="7" t="s">
        <v>141</v>
      </c>
      <c r="F14" t="s">
        <v>53</v>
      </c>
      <c r="G14" t="s">
        <v>166</v>
      </c>
      <c r="H14" s="7">
        <v>1</v>
      </c>
      <c r="I14" s="13">
        <v>1</v>
      </c>
      <c r="J14" s="7">
        <v>1</v>
      </c>
      <c r="K14" s="12">
        <v>3</v>
      </c>
      <c r="L14" s="7">
        <v>3</v>
      </c>
      <c r="M14" s="2">
        <f t="shared" si="7"/>
        <v>0</v>
      </c>
      <c r="N14" s="9">
        <v>6</v>
      </c>
      <c r="O14" s="9">
        <v>8</v>
      </c>
      <c r="P14">
        <f t="shared" si="8"/>
        <v>2</v>
      </c>
      <c r="Q14" s="9">
        <v>1</v>
      </c>
      <c r="R14" s="9">
        <v>1</v>
      </c>
      <c r="S14">
        <f t="shared" si="9"/>
        <v>0</v>
      </c>
      <c r="T14">
        <v>3</v>
      </c>
      <c r="U14">
        <v>3</v>
      </c>
      <c r="V14">
        <f t="shared" si="10"/>
        <v>0</v>
      </c>
      <c r="W14">
        <v>1</v>
      </c>
      <c r="X14">
        <v>1</v>
      </c>
      <c r="Y14">
        <f t="shared" si="11"/>
        <v>0</v>
      </c>
      <c r="Z14" s="2">
        <v>0</v>
      </c>
      <c r="AA14" s="2">
        <v>0</v>
      </c>
      <c r="AB14" s="2">
        <v>0</v>
      </c>
      <c r="AC14" s="2">
        <f t="shared" si="12"/>
        <v>0</v>
      </c>
      <c r="AD14" s="2">
        <v>0</v>
      </c>
      <c r="AE14" s="2">
        <v>1</v>
      </c>
      <c r="AF14" s="2">
        <v>0</v>
      </c>
      <c r="AG14" s="2">
        <v>1</v>
      </c>
      <c r="AH14" s="2">
        <v>0</v>
      </c>
      <c r="AI14" s="2">
        <v>0</v>
      </c>
      <c r="AJ14" s="2">
        <v>1</v>
      </c>
      <c r="AK14" s="2">
        <v>0</v>
      </c>
      <c r="AL14">
        <f t="shared" si="13"/>
        <v>0</v>
      </c>
      <c r="AM14" s="2" t="s">
        <v>6</v>
      </c>
    </row>
    <row r="15" spans="1:39" x14ac:dyDescent="0.35">
      <c r="A15" s="7">
        <v>195</v>
      </c>
      <c r="B15" s="7" t="s">
        <v>16</v>
      </c>
      <c r="C15">
        <v>1.61</v>
      </c>
      <c r="D15" s="2">
        <v>38</v>
      </c>
      <c r="E15" s="7" t="s">
        <v>52</v>
      </c>
      <c r="F15" t="s">
        <v>55</v>
      </c>
      <c r="G15" t="s">
        <v>166</v>
      </c>
      <c r="H15" s="7">
        <v>1</v>
      </c>
      <c r="I15" s="13">
        <v>1</v>
      </c>
      <c r="J15" s="7">
        <v>1</v>
      </c>
      <c r="K15" s="12">
        <v>4</v>
      </c>
      <c r="L15" s="7">
        <v>2</v>
      </c>
      <c r="M15" s="2">
        <f t="shared" si="7"/>
        <v>-2</v>
      </c>
      <c r="N15" s="9">
        <v>7</v>
      </c>
      <c r="O15" s="9">
        <v>1</v>
      </c>
      <c r="P15">
        <f t="shared" si="8"/>
        <v>-6</v>
      </c>
      <c r="Q15" s="9">
        <v>3</v>
      </c>
      <c r="R15" s="9">
        <v>3</v>
      </c>
      <c r="S15">
        <f t="shared" si="9"/>
        <v>0</v>
      </c>
      <c r="T15">
        <v>3</v>
      </c>
      <c r="U15">
        <v>4</v>
      </c>
      <c r="V15">
        <f t="shared" si="10"/>
        <v>1</v>
      </c>
      <c r="W15">
        <v>1</v>
      </c>
      <c r="X15">
        <v>2</v>
      </c>
      <c r="Y15">
        <f t="shared" si="11"/>
        <v>1</v>
      </c>
      <c r="Z15" s="2">
        <v>0</v>
      </c>
      <c r="AA15" s="2">
        <v>1</v>
      </c>
      <c r="AB15" s="2">
        <v>0</v>
      </c>
      <c r="AC15" s="2">
        <f t="shared" si="12"/>
        <v>1</v>
      </c>
      <c r="AD15" s="2">
        <v>0</v>
      </c>
      <c r="AE15" s="2">
        <v>1</v>
      </c>
      <c r="AF15" s="2">
        <v>0</v>
      </c>
      <c r="AG15" s="2">
        <v>1</v>
      </c>
      <c r="AH15" s="2">
        <v>1</v>
      </c>
      <c r="AI15" s="2">
        <v>1</v>
      </c>
      <c r="AJ15" s="2">
        <v>1</v>
      </c>
      <c r="AK15" s="2">
        <v>0</v>
      </c>
      <c r="AL15">
        <f t="shared" si="13"/>
        <v>0</v>
      </c>
      <c r="AM15" s="2" t="s">
        <v>8</v>
      </c>
    </row>
    <row r="16" spans="1:39" x14ac:dyDescent="0.35">
      <c r="A16" s="7">
        <v>197</v>
      </c>
      <c r="B16" s="7" t="s">
        <v>16</v>
      </c>
      <c r="C16">
        <v>1.61</v>
      </c>
      <c r="D16" s="2">
        <v>37</v>
      </c>
      <c r="E16" s="7" t="s">
        <v>52</v>
      </c>
      <c r="F16" t="s">
        <v>54</v>
      </c>
      <c r="G16" t="s">
        <v>166</v>
      </c>
      <c r="H16" s="7">
        <v>1</v>
      </c>
      <c r="I16" s="13">
        <v>0.75</v>
      </c>
      <c r="J16" s="7">
        <v>1</v>
      </c>
      <c r="K16" s="12">
        <v>2</v>
      </c>
      <c r="L16" s="7">
        <v>2</v>
      </c>
      <c r="M16" s="2">
        <f t="shared" si="7"/>
        <v>0</v>
      </c>
      <c r="N16" s="9">
        <v>8</v>
      </c>
      <c r="O16" s="9">
        <v>2</v>
      </c>
      <c r="P16">
        <f t="shared" si="8"/>
        <v>-6</v>
      </c>
      <c r="Q16" s="9">
        <v>2</v>
      </c>
      <c r="R16" s="9">
        <v>2</v>
      </c>
      <c r="S16">
        <f t="shared" si="9"/>
        <v>0</v>
      </c>
      <c r="T16">
        <v>3</v>
      </c>
      <c r="U16">
        <v>3</v>
      </c>
      <c r="V16">
        <f t="shared" si="10"/>
        <v>0</v>
      </c>
      <c r="W16">
        <v>1</v>
      </c>
      <c r="X16">
        <v>1</v>
      </c>
      <c r="Y16">
        <f t="shared" si="11"/>
        <v>0</v>
      </c>
      <c r="Z16" s="2">
        <v>1</v>
      </c>
      <c r="AA16" s="2">
        <v>1</v>
      </c>
      <c r="AB16" s="2">
        <v>1</v>
      </c>
      <c r="AC16" s="2">
        <f t="shared" si="12"/>
        <v>1</v>
      </c>
      <c r="AD16" s="2">
        <v>1</v>
      </c>
      <c r="AE16" s="2">
        <v>1</v>
      </c>
      <c r="AF16" s="2">
        <v>0</v>
      </c>
      <c r="AG16" s="2">
        <v>1</v>
      </c>
      <c r="AH16" s="2">
        <v>0</v>
      </c>
      <c r="AI16" s="2">
        <v>0</v>
      </c>
      <c r="AJ16" s="2">
        <v>1</v>
      </c>
      <c r="AK16" s="2">
        <v>0</v>
      </c>
      <c r="AL16">
        <f t="shared" si="13"/>
        <v>0</v>
      </c>
      <c r="AM16" s="2" t="s">
        <v>137</v>
      </c>
    </row>
    <row r="17" spans="1:39" x14ac:dyDescent="0.35">
      <c r="A17" s="7">
        <v>200</v>
      </c>
      <c r="B17" s="7" t="s">
        <v>163</v>
      </c>
      <c r="C17" s="7">
        <v>-0.37</v>
      </c>
      <c r="D17" s="2">
        <v>80</v>
      </c>
      <c r="E17" s="7" t="s">
        <v>52</v>
      </c>
      <c r="F17" t="s">
        <v>54</v>
      </c>
      <c r="G17" t="s">
        <v>166</v>
      </c>
      <c r="H17" s="7">
        <v>1</v>
      </c>
      <c r="I17" s="13">
        <v>0.25</v>
      </c>
      <c r="J17" s="7">
        <v>1</v>
      </c>
      <c r="K17" s="12">
        <v>2</v>
      </c>
      <c r="L17" s="7">
        <v>2</v>
      </c>
      <c r="M17" s="2">
        <f t="shared" si="7"/>
        <v>0</v>
      </c>
      <c r="N17" s="9">
        <v>8</v>
      </c>
      <c r="O17" s="9">
        <v>8</v>
      </c>
      <c r="P17">
        <f t="shared" si="8"/>
        <v>0</v>
      </c>
      <c r="Q17" s="9">
        <v>1</v>
      </c>
      <c r="R17" s="9">
        <v>1</v>
      </c>
      <c r="S17">
        <f t="shared" si="9"/>
        <v>0</v>
      </c>
      <c r="T17">
        <v>4</v>
      </c>
      <c r="U17">
        <v>4</v>
      </c>
      <c r="V17">
        <f t="shared" si="10"/>
        <v>0</v>
      </c>
      <c r="W17">
        <v>1</v>
      </c>
      <c r="X17">
        <v>1</v>
      </c>
      <c r="Y17">
        <f t="shared" si="11"/>
        <v>0</v>
      </c>
      <c r="Z17" s="12">
        <v>0</v>
      </c>
      <c r="AA17" s="2">
        <v>0</v>
      </c>
      <c r="AB17" s="2">
        <v>0</v>
      </c>
      <c r="AC17" s="2">
        <f t="shared" si="12"/>
        <v>0</v>
      </c>
      <c r="AD17" s="2">
        <v>0</v>
      </c>
      <c r="AE17" s="2">
        <v>0</v>
      </c>
      <c r="AF17" s="2">
        <v>0</v>
      </c>
      <c r="AG17" s="2">
        <v>1</v>
      </c>
      <c r="AH17" s="2">
        <v>0</v>
      </c>
      <c r="AI17" s="2">
        <v>0</v>
      </c>
      <c r="AJ17" s="2">
        <v>0</v>
      </c>
      <c r="AK17" s="2">
        <v>0</v>
      </c>
      <c r="AL17">
        <f t="shared" si="13"/>
        <v>0</v>
      </c>
      <c r="AM17" s="2" t="s">
        <v>140</v>
      </c>
    </row>
    <row r="18" spans="1:39" x14ac:dyDescent="0.35">
      <c r="A18" s="7">
        <v>201</v>
      </c>
      <c r="B18" s="7" t="s">
        <v>163</v>
      </c>
      <c r="C18" s="7">
        <v>-0.37</v>
      </c>
      <c r="D18" s="2">
        <v>14</v>
      </c>
      <c r="E18" s="7" t="s">
        <v>52</v>
      </c>
      <c r="F18" t="s">
        <v>56</v>
      </c>
      <c r="G18" s="7" t="s">
        <v>167</v>
      </c>
      <c r="H18" s="7">
        <v>1</v>
      </c>
      <c r="I18" s="13">
        <v>0.5</v>
      </c>
      <c r="J18" s="7">
        <v>1</v>
      </c>
      <c r="K18" s="12">
        <v>10</v>
      </c>
      <c r="L18" s="7">
        <v>8</v>
      </c>
      <c r="M18" s="2">
        <f t="shared" ref="M18:M27" si="14">L18-K18</f>
        <v>-2</v>
      </c>
      <c r="N18" s="9">
        <v>5</v>
      </c>
      <c r="O18" s="9">
        <v>4</v>
      </c>
      <c r="P18">
        <f t="shared" ref="P18:P27" si="15">O18-N18</f>
        <v>-1</v>
      </c>
      <c r="Q18" s="9">
        <v>2</v>
      </c>
      <c r="R18" s="9">
        <v>2</v>
      </c>
      <c r="S18">
        <f t="shared" ref="S18:S27" si="16">R18-Q18</f>
        <v>0</v>
      </c>
      <c r="T18">
        <v>3</v>
      </c>
      <c r="U18">
        <v>4</v>
      </c>
      <c r="V18">
        <f t="shared" ref="V18:V27" si="17">U18-T18</f>
        <v>1</v>
      </c>
      <c r="W18">
        <v>1</v>
      </c>
      <c r="X18">
        <v>1</v>
      </c>
      <c r="Y18">
        <f t="shared" ref="Y18:Y27" si="18">X18-W18</f>
        <v>0</v>
      </c>
      <c r="Z18" s="12">
        <v>0</v>
      </c>
      <c r="AA18" s="2">
        <v>1</v>
      </c>
      <c r="AB18" s="2">
        <v>0</v>
      </c>
      <c r="AC18" s="2">
        <f t="shared" ref="AC18:AC21" si="19">IF(AA18+AB18&gt;0,1,0)</f>
        <v>1</v>
      </c>
      <c r="AD18" s="2">
        <v>0</v>
      </c>
      <c r="AE18" s="2">
        <v>1</v>
      </c>
      <c r="AF18" s="2">
        <v>0</v>
      </c>
      <c r="AG18" s="2">
        <v>1</v>
      </c>
      <c r="AH18" s="2">
        <v>1</v>
      </c>
      <c r="AI18" s="2">
        <v>0</v>
      </c>
      <c r="AJ18" s="2">
        <v>1</v>
      </c>
      <c r="AK18" s="2">
        <v>0</v>
      </c>
      <c r="AL18">
        <f t="shared" ref="AL18:AL21" si="20">IF(Z18+AC18+AD18+AE18+AG18+AJ18+AK18=0,1,0)</f>
        <v>0</v>
      </c>
      <c r="AM18" s="2" t="s">
        <v>6</v>
      </c>
    </row>
    <row r="19" spans="1:39" x14ac:dyDescent="0.35">
      <c r="A19" s="7">
        <v>207</v>
      </c>
      <c r="B19" s="7" t="s">
        <v>163</v>
      </c>
      <c r="C19" s="7">
        <v>-0.37</v>
      </c>
      <c r="D19" s="2">
        <v>14</v>
      </c>
      <c r="E19" s="7" t="s">
        <v>162</v>
      </c>
      <c r="F19" t="s">
        <v>55</v>
      </c>
      <c r="G19" t="s">
        <v>166</v>
      </c>
      <c r="H19" s="7">
        <v>1</v>
      </c>
      <c r="I19" s="13">
        <v>0.25</v>
      </c>
      <c r="J19" s="7">
        <v>1</v>
      </c>
      <c r="K19" s="12">
        <v>2</v>
      </c>
      <c r="L19" s="7">
        <v>2</v>
      </c>
      <c r="M19" s="2">
        <f t="shared" si="14"/>
        <v>0</v>
      </c>
      <c r="N19" s="9">
        <v>8</v>
      </c>
      <c r="O19" s="9">
        <v>7</v>
      </c>
      <c r="P19">
        <f t="shared" si="15"/>
        <v>-1</v>
      </c>
      <c r="Q19" s="9">
        <v>3</v>
      </c>
      <c r="R19" s="9">
        <v>3</v>
      </c>
      <c r="S19">
        <f t="shared" si="16"/>
        <v>0</v>
      </c>
      <c r="T19">
        <v>5</v>
      </c>
      <c r="U19">
        <v>3</v>
      </c>
      <c r="V19">
        <f t="shared" si="17"/>
        <v>-2</v>
      </c>
      <c r="W19">
        <v>2</v>
      </c>
      <c r="X19">
        <v>2</v>
      </c>
      <c r="Y19">
        <f t="shared" si="18"/>
        <v>0</v>
      </c>
      <c r="Z19" s="12">
        <v>0</v>
      </c>
      <c r="AA19" s="2">
        <v>1</v>
      </c>
      <c r="AB19" s="2">
        <v>0</v>
      </c>
      <c r="AC19" s="2">
        <f t="shared" si="19"/>
        <v>1</v>
      </c>
      <c r="AD19" s="2">
        <v>0</v>
      </c>
      <c r="AE19" s="2">
        <v>1</v>
      </c>
      <c r="AF19" s="2">
        <v>0</v>
      </c>
      <c r="AG19" s="2">
        <v>1</v>
      </c>
      <c r="AH19" s="2">
        <v>0</v>
      </c>
      <c r="AI19" s="2">
        <v>1</v>
      </c>
      <c r="AJ19" s="2">
        <v>1</v>
      </c>
      <c r="AK19" s="2">
        <v>0</v>
      </c>
      <c r="AL19">
        <f t="shared" si="20"/>
        <v>0</v>
      </c>
      <c r="AM19" s="2" t="s">
        <v>136</v>
      </c>
    </row>
    <row r="20" spans="1:39" x14ac:dyDescent="0.35">
      <c r="A20" s="7">
        <v>209</v>
      </c>
      <c r="B20" s="7" t="s">
        <v>163</v>
      </c>
      <c r="C20" s="7">
        <v>-0.37</v>
      </c>
      <c r="D20" s="2">
        <v>40</v>
      </c>
      <c r="E20" s="7" t="s">
        <v>52</v>
      </c>
      <c r="F20" t="s">
        <v>56</v>
      </c>
      <c r="G20" t="s">
        <v>166</v>
      </c>
      <c r="H20" s="7">
        <v>1</v>
      </c>
      <c r="I20" s="13">
        <v>0.25</v>
      </c>
      <c r="J20" s="7">
        <v>1</v>
      </c>
      <c r="K20" s="12">
        <v>10</v>
      </c>
      <c r="L20" s="7">
        <v>7</v>
      </c>
      <c r="M20" s="2">
        <f t="shared" si="14"/>
        <v>-3</v>
      </c>
      <c r="N20" s="9">
        <v>5</v>
      </c>
      <c r="O20" s="9">
        <v>3</v>
      </c>
      <c r="P20">
        <f t="shared" si="15"/>
        <v>-2</v>
      </c>
      <c r="Q20" s="9">
        <v>1</v>
      </c>
      <c r="R20" s="9">
        <v>2</v>
      </c>
      <c r="S20">
        <f t="shared" si="16"/>
        <v>1</v>
      </c>
      <c r="T20">
        <v>5</v>
      </c>
      <c r="U20">
        <v>3</v>
      </c>
      <c r="V20">
        <f t="shared" si="17"/>
        <v>-2</v>
      </c>
      <c r="W20">
        <v>1</v>
      </c>
      <c r="X20">
        <v>2</v>
      </c>
      <c r="Y20">
        <f t="shared" si="18"/>
        <v>1</v>
      </c>
      <c r="Z20" s="12">
        <v>0</v>
      </c>
      <c r="AA20" s="2">
        <v>0</v>
      </c>
      <c r="AB20" s="2">
        <v>1</v>
      </c>
      <c r="AC20" s="2">
        <f t="shared" si="19"/>
        <v>1</v>
      </c>
      <c r="AD20" s="2">
        <v>0</v>
      </c>
      <c r="AE20" s="2">
        <v>1</v>
      </c>
      <c r="AF20" s="2">
        <v>0</v>
      </c>
      <c r="AG20" s="2">
        <v>0</v>
      </c>
      <c r="AH20" s="2">
        <v>1</v>
      </c>
      <c r="AI20" s="2">
        <v>0</v>
      </c>
      <c r="AJ20" s="2">
        <v>1</v>
      </c>
      <c r="AK20" s="2">
        <v>0</v>
      </c>
      <c r="AL20">
        <f t="shared" si="20"/>
        <v>0</v>
      </c>
      <c r="AM20" s="2" t="s">
        <v>6</v>
      </c>
    </row>
    <row r="21" spans="1:39" x14ac:dyDescent="0.35">
      <c r="A21" s="7">
        <v>210</v>
      </c>
      <c r="B21" t="s">
        <v>16</v>
      </c>
      <c r="C21">
        <v>1.61</v>
      </c>
      <c r="D21" s="2">
        <v>9</v>
      </c>
      <c r="E21" t="s">
        <v>52</v>
      </c>
      <c r="F21" t="s">
        <v>53</v>
      </c>
      <c r="G21" t="s">
        <v>167</v>
      </c>
      <c r="H21">
        <v>1</v>
      </c>
      <c r="I21" s="13">
        <v>0.75</v>
      </c>
      <c r="J21">
        <v>1</v>
      </c>
      <c r="K21" s="12">
        <v>11</v>
      </c>
      <c r="L21" s="7">
        <v>10.5</v>
      </c>
      <c r="M21" s="2">
        <f t="shared" si="14"/>
        <v>-0.5</v>
      </c>
      <c r="N21" s="9">
        <v>7</v>
      </c>
      <c r="O21" s="9">
        <v>2</v>
      </c>
      <c r="P21">
        <f t="shared" si="15"/>
        <v>-5</v>
      </c>
      <c r="Q21" s="9">
        <v>2</v>
      </c>
      <c r="R21" s="9">
        <v>2</v>
      </c>
      <c r="S21">
        <f t="shared" si="16"/>
        <v>0</v>
      </c>
      <c r="T21">
        <v>4</v>
      </c>
      <c r="U21">
        <v>4</v>
      </c>
      <c r="V21">
        <f t="shared" si="17"/>
        <v>0</v>
      </c>
      <c r="W21">
        <v>2</v>
      </c>
      <c r="X21">
        <v>2</v>
      </c>
      <c r="Y21">
        <f t="shared" si="18"/>
        <v>0</v>
      </c>
      <c r="Z21" s="12">
        <v>0</v>
      </c>
      <c r="AA21" s="2">
        <v>1</v>
      </c>
      <c r="AB21" s="2">
        <v>1</v>
      </c>
      <c r="AC21" s="2">
        <f t="shared" si="19"/>
        <v>1</v>
      </c>
      <c r="AD21" s="2">
        <v>1</v>
      </c>
      <c r="AE21" s="2">
        <v>0</v>
      </c>
      <c r="AF21" s="2">
        <v>0</v>
      </c>
      <c r="AG21" s="2">
        <v>1</v>
      </c>
      <c r="AH21" s="2">
        <v>0</v>
      </c>
      <c r="AI21" s="2">
        <v>0</v>
      </c>
      <c r="AJ21" s="2">
        <v>0</v>
      </c>
      <c r="AK21" s="2">
        <v>0</v>
      </c>
      <c r="AL21">
        <f t="shared" si="20"/>
        <v>0</v>
      </c>
      <c r="AM21" s="2" t="s">
        <v>136</v>
      </c>
    </row>
    <row r="22" spans="1:39" x14ac:dyDescent="0.35">
      <c r="A22" s="7">
        <v>220</v>
      </c>
      <c r="B22" t="s">
        <v>163</v>
      </c>
      <c r="C22" s="7">
        <v>-0.37</v>
      </c>
      <c r="D22" s="2">
        <v>14</v>
      </c>
      <c r="E22" t="s">
        <v>52</v>
      </c>
      <c r="F22" t="s">
        <v>56</v>
      </c>
      <c r="G22" t="s">
        <v>166</v>
      </c>
      <c r="H22">
        <v>1</v>
      </c>
      <c r="I22" s="13">
        <v>0.75</v>
      </c>
      <c r="J22">
        <v>1</v>
      </c>
      <c r="K22" s="12">
        <v>6</v>
      </c>
      <c r="L22" s="7">
        <v>4</v>
      </c>
      <c r="M22" s="2">
        <f t="shared" si="14"/>
        <v>-2</v>
      </c>
      <c r="N22" s="9">
        <v>9</v>
      </c>
      <c r="O22" s="9">
        <v>3</v>
      </c>
      <c r="P22">
        <f t="shared" si="15"/>
        <v>-6</v>
      </c>
      <c r="Q22" s="9">
        <v>2</v>
      </c>
      <c r="R22" s="9">
        <v>2</v>
      </c>
      <c r="S22">
        <f t="shared" si="16"/>
        <v>0</v>
      </c>
      <c r="T22">
        <v>3</v>
      </c>
      <c r="U22">
        <v>1</v>
      </c>
      <c r="V22">
        <f t="shared" si="17"/>
        <v>-2</v>
      </c>
      <c r="W22">
        <v>1</v>
      </c>
      <c r="X22">
        <v>2</v>
      </c>
      <c r="Y22">
        <f t="shared" si="18"/>
        <v>1</v>
      </c>
      <c r="Z22" s="2">
        <v>0</v>
      </c>
      <c r="AA22" s="2">
        <v>1</v>
      </c>
      <c r="AB22" s="2">
        <v>0</v>
      </c>
      <c r="AC22" s="2">
        <f>IF(AA22+AB22&gt;0,1,0)</f>
        <v>1</v>
      </c>
      <c r="AD22" s="2">
        <v>0</v>
      </c>
      <c r="AE22" s="2">
        <v>1</v>
      </c>
      <c r="AF22" s="2">
        <v>0</v>
      </c>
      <c r="AG22" s="2">
        <v>0</v>
      </c>
      <c r="AH22" s="2">
        <v>1</v>
      </c>
      <c r="AI22" s="2">
        <v>1</v>
      </c>
      <c r="AJ22" s="2">
        <v>0</v>
      </c>
      <c r="AK22" s="2">
        <v>0</v>
      </c>
      <c r="AL22">
        <f>IF(Z22+AC22+AD22+AE22+AG22+AJ22+AK22=0,1,0)</f>
        <v>0</v>
      </c>
      <c r="AM22" s="2" t="s">
        <v>136</v>
      </c>
    </row>
    <row r="23" spans="1:39" x14ac:dyDescent="0.35">
      <c r="A23" s="7">
        <v>222</v>
      </c>
      <c r="B23" t="s">
        <v>163</v>
      </c>
      <c r="C23" s="7">
        <v>-0.37</v>
      </c>
      <c r="D23" s="2">
        <v>40</v>
      </c>
      <c r="E23" t="s">
        <v>141</v>
      </c>
      <c r="F23" t="s">
        <v>53</v>
      </c>
      <c r="G23" t="s">
        <v>166</v>
      </c>
      <c r="H23">
        <v>1</v>
      </c>
      <c r="I23" s="13">
        <v>0.5</v>
      </c>
      <c r="J23">
        <v>1</v>
      </c>
      <c r="K23" s="2">
        <v>4</v>
      </c>
      <c r="L23" s="7">
        <v>4</v>
      </c>
      <c r="M23" s="2">
        <f t="shared" si="14"/>
        <v>0</v>
      </c>
      <c r="N23" s="9">
        <v>9</v>
      </c>
      <c r="O23" s="9">
        <v>7</v>
      </c>
      <c r="P23">
        <f t="shared" si="15"/>
        <v>-2</v>
      </c>
      <c r="Q23" s="9">
        <v>2</v>
      </c>
      <c r="R23" s="9">
        <v>2</v>
      </c>
      <c r="S23">
        <f t="shared" si="16"/>
        <v>0</v>
      </c>
      <c r="T23">
        <v>1</v>
      </c>
      <c r="U23">
        <v>3</v>
      </c>
      <c r="V23">
        <f t="shared" si="17"/>
        <v>2</v>
      </c>
      <c r="W23">
        <v>1</v>
      </c>
      <c r="X23">
        <v>1</v>
      </c>
      <c r="Y23">
        <f t="shared" si="18"/>
        <v>0</v>
      </c>
      <c r="Z23" s="2">
        <v>0</v>
      </c>
      <c r="AA23" s="2">
        <v>1</v>
      </c>
      <c r="AB23" s="2">
        <v>0</v>
      </c>
      <c r="AC23" s="2">
        <f>IF(AA23+AB23&gt;0,1,0)</f>
        <v>1</v>
      </c>
      <c r="AD23" s="2">
        <v>0</v>
      </c>
      <c r="AE23" s="2">
        <v>0</v>
      </c>
      <c r="AF23" s="2">
        <v>0</v>
      </c>
      <c r="AG23" s="2">
        <v>1</v>
      </c>
      <c r="AH23" s="2">
        <v>0</v>
      </c>
      <c r="AI23" s="2">
        <v>0</v>
      </c>
      <c r="AJ23" s="2">
        <v>0</v>
      </c>
      <c r="AK23" s="2">
        <v>0</v>
      </c>
      <c r="AL23" s="2">
        <f>IF(Z23+AC23+AD23+AE23+AG23+AJ23+AK23=0,1,0)</f>
        <v>0</v>
      </c>
      <c r="AM23" s="2" t="s">
        <v>136</v>
      </c>
    </row>
    <row r="24" spans="1:39" x14ac:dyDescent="0.35">
      <c r="A24" s="7">
        <v>227</v>
      </c>
      <c r="B24" t="s">
        <v>163</v>
      </c>
      <c r="C24" s="7">
        <v>-0.37</v>
      </c>
      <c r="D24" s="5">
        <v>78</v>
      </c>
      <c r="E24" t="s">
        <v>141</v>
      </c>
      <c r="F24" t="s">
        <v>59</v>
      </c>
      <c r="G24" t="s">
        <v>166</v>
      </c>
      <c r="H24">
        <v>1</v>
      </c>
      <c r="I24" s="13">
        <v>0.75</v>
      </c>
      <c r="J24">
        <v>1</v>
      </c>
      <c r="K24" s="2">
        <v>4</v>
      </c>
      <c r="L24" s="7">
        <v>3</v>
      </c>
      <c r="M24" s="2">
        <f t="shared" si="14"/>
        <v>-1</v>
      </c>
      <c r="N24" s="9">
        <v>10</v>
      </c>
      <c r="O24" s="9">
        <v>4</v>
      </c>
      <c r="P24">
        <f t="shared" si="15"/>
        <v>-6</v>
      </c>
      <c r="Q24" s="9">
        <v>3</v>
      </c>
      <c r="R24" s="9">
        <v>3</v>
      </c>
      <c r="S24">
        <f t="shared" si="16"/>
        <v>0</v>
      </c>
      <c r="T24">
        <v>1</v>
      </c>
      <c r="U24">
        <v>2</v>
      </c>
      <c r="V24">
        <f t="shared" si="17"/>
        <v>1</v>
      </c>
      <c r="W24">
        <v>2</v>
      </c>
      <c r="X24">
        <v>2</v>
      </c>
      <c r="Y24">
        <f t="shared" si="18"/>
        <v>0</v>
      </c>
      <c r="Z24" s="2">
        <v>0</v>
      </c>
      <c r="AA24" s="2">
        <v>1</v>
      </c>
      <c r="AB24" s="2">
        <v>1</v>
      </c>
      <c r="AC24" s="2">
        <f t="shared" ref="AC24:AC27" si="21">IF(AA24+AB24&gt;0,1,0)</f>
        <v>1</v>
      </c>
      <c r="AD24" s="2">
        <v>1</v>
      </c>
      <c r="AE24" s="2">
        <v>0</v>
      </c>
      <c r="AF24" s="2">
        <v>0</v>
      </c>
      <c r="AG24" s="2">
        <v>0</v>
      </c>
      <c r="AH24" s="2">
        <v>0</v>
      </c>
      <c r="AI24" s="2">
        <v>0</v>
      </c>
      <c r="AJ24" s="2">
        <v>0</v>
      </c>
      <c r="AK24" s="2">
        <v>0</v>
      </c>
      <c r="AL24" s="2">
        <f t="shared" ref="AL24:AL27" si="22">IF(Z24+AC24+AD24+AE24+AG24+AJ24+AK24=0,1,0)</f>
        <v>0</v>
      </c>
      <c r="AM24" s="2" t="s">
        <v>136</v>
      </c>
    </row>
    <row r="25" spans="1:39" x14ac:dyDescent="0.35">
      <c r="A25" s="7">
        <v>228</v>
      </c>
      <c r="B25" t="s">
        <v>163</v>
      </c>
      <c r="C25" s="7">
        <v>-0.37</v>
      </c>
      <c r="D25" s="2">
        <v>98</v>
      </c>
      <c r="E25" t="s">
        <v>141</v>
      </c>
      <c r="F25" t="s">
        <v>56</v>
      </c>
      <c r="G25" t="s">
        <v>166</v>
      </c>
      <c r="H25">
        <v>1</v>
      </c>
      <c r="I25" s="13">
        <v>0.75</v>
      </c>
      <c r="J25">
        <v>1</v>
      </c>
      <c r="K25" s="2">
        <v>6</v>
      </c>
      <c r="L25" s="7">
        <v>5</v>
      </c>
      <c r="M25" s="2">
        <f t="shared" si="14"/>
        <v>-1</v>
      </c>
      <c r="N25" s="9">
        <v>7</v>
      </c>
      <c r="O25" s="9">
        <v>4</v>
      </c>
      <c r="P25">
        <f t="shared" si="15"/>
        <v>-3</v>
      </c>
      <c r="Q25" s="9">
        <v>1</v>
      </c>
      <c r="R25" s="9">
        <v>1</v>
      </c>
      <c r="S25">
        <f t="shared" si="16"/>
        <v>0</v>
      </c>
      <c r="T25">
        <v>2</v>
      </c>
      <c r="U25">
        <v>3</v>
      </c>
      <c r="V25">
        <f t="shared" si="17"/>
        <v>1</v>
      </c>
      <c r="W25">
        <v>1</v>
      </c>
      <c r="X25">
        <v>1</v>
      </c>
      <c r="Y25">
        <f t="shared" si="18"/>
        <v>0</v>
      </c>
      <c r="Z25" s="2">
        <v>0</v>
      </c>
      <c r="AA25" s="2">
        <v>0</v>
      </c>
      <c r="AB25" s="2">
        <v>0</v>
      </c>
      <c r="AC25" s="2">
        <f t="shared" si="21"/>
        <v>0</v>
      </c>
      <c r="AD25" s="2">
        <v>0</v>
      </c>
      <c r="AE25" s="2">
        <v>1</v>
      </c>
      <c r="AF25" s="2">
        <v>0</v>
      </c>
      <c r="AG25" s="2">
        <v>1</v>
      </c>
      <c r="AH25" s="2">
        <v>0</v>
      </c>
      <c r="AI25" s="2">
        <v>0</v>
      </c>
      <c r="AJ25" s="2">
        <v>1</v>
      </c>
      <c r="AK25" s="2">
        <v>0</v>
      </c>
      <c r="AL25" s="2">
        <f t="shared" si="22"/>
        <v>0</v>
      </c>
      <c r="AM25" s="2" t="s">
        <v>6</v>
      </c>
    </row>
    <row r="26" spans="1:39" x14ac:dyDescent="0.35">
      <c r="A26" s="7">
        <v>229</v>
      </c>
      <c r="B26" t="s">
        <v>163</v>
      </c>
      <c r="C26" s="7">
        <v>-0.37</v>
      </c>
      <c r="D26" s="2">
        <v>130</v>
      </c>
      <c r="E26" t="s">
        <v>141</v>
      </c>
      <c r="F26" t="s">
        <v>59</v>
      </c>
      <c r="G26" t="s">
        <v>167</v>
      </c>
      <c r="H26">
        <v>1</v>
      </c>
      <c r="I26" s="13">
        <v>0.75</v>
      </c>
      <c r="J26">
        <v>1</v>
      </c>
      <c r="K26" s="2">
        <v>2</v>
      </c>
      <c r="L26" s="7">
        <v>2</v>
      </c>
      <c r="M26" s="2">
        <f t="shared" si="14"/>
        <v>0</v>
      </c>
      <c r="N26" s="9">
        <v>7</v>
      </c>
      <c r="O26" s="9">
        <v>5</v>
      </c>
      <c r="P26">
        <f t="shared" si="15"/>
        <v>-2</v>
      </c>
      <c r="Q26" s="9">
        <v>1</v>
      </c>
      <c r="R26" s="9">
        <v>1</v>
      </c>
      <c r="S26">
        <f t="shared" si="16"/>
        <v>0</v>
      </c>
      <c r="T26">
        <v>4</v>
      </c>
      <c r="U26">
        <v>3</v>
      </c>
      <c r="V26">
        <f t="shared" si="17"/>
        <v>-1</v>
      </c>
      <c r="W26">
        <v>2</v>
      </c>
      <c r="X26">
        <v>2</v>
      </c>
      <c r="Y26">
        <f t="shared" si="18"/>
        <v>0</v>
      </c>
      <c r="Z26" s="2">
        <v>0</v>
      </c>
      <c r="AA26" s="2">
        <v>1</v>
      </c>
      <c r="AB26" s="2">
        <v>0</v>
      </c>
      <c r="AC26" s="2">
        <f t="shared" si="21"/>
        <v>1</v>
      </c>
      <c r="AD26" s="2">
        <v>0</v>
      </c>
      <c r="AE26" s="2">
        <v>1</v>
      </c>
      <c r="AF26" s="2">
        <v>0</v>
      </c>
      <c r="AG26" s="2">
        <v>1</v>
      </c>
      <c r="AH26" s="2">
        <v>0</v>
      </c>
      <c r="AI26" s="2">
        <v>0</v>
      </c>
      <c r="AJ26" s="2">
        <v>1</v>
      </c>
      <c r="AK26" s="2">
        <v>0</v>
      </c>
      <c r="AL26" s="2">
        <f t="shared" si="22"/>
        <v>0</v>
      </c>
      <c r="AM26" s="2" t="s">
        <v>6</v>
      </c>
    </row>
    <row r="27" spans="1:39" x14ac:dyDescent="0.35">
      <c r="A27" s="7">
        <v>230</v>
      </c>
      <c r="B27" t="s">
        <v>163</v>
      </c>
      <c r="C27" s="7">
        <v>-0.37</v>
      </c>
      <c r="D27" s="2">
        <v>21</v>
      </c>
      <c r="E27" t="s">
        <v>52</v>
      </c>
      <c r="F27" t="s">
        <v>56</v>
      </c>
      <c r="G27" t="s">
        <v>166</v>
      </c>
      <c r="H27">
        <v>1</v>
      </c>
      <c r="I27" s="13">
        <v>0.5</v>
      </c>
      <c r="J27">
        <v>1</v>
      </c>
      <c r="K27" s="2">
        <v>3</v>
      </c>
      <c r="L27" s="7">
        <v>3</v>
      </c>
      <c r="M27" s="2">
        <f t="shared" si="14"/>
        <v>0</v>
      </c>
      <c r="N27" s="9">
        <v>3</v>
      </c>
      <c r="O27" s="9">
        <v>3</v>
      </c>
      <c r="P27">
        <f t="shared" si="15"/>
        <v>0</v>
      </c>
      <c r="Q27" s="9">
        <v>1</v>
      </c>
      <c r="R27" s="9">
        <v>1</v>
      </c>
      <c r="S27">
        <f t="shared" si="16"/>
        <v>0</v>
      </c>
      <c r="T27">
        <v>5</v>
      </c>
      <c r="U27">
        <v>5</v>
      </c>
      <c r="V27">
        <f t="shared" si="17"/>
        <v>0</v>
      </c>
      <c r="W27">
        <v>2</v>
      </c>
      <c r="X27">
        <v>2</v>
      </c>
      <c r="Y27">
        <f t="shared" si="18"/>
        <v>0</v>
      </c>
      <c r="Z27" s="2">
        <v>0</v>
      </c>
      <c r="AA27" s="2">
        <v>0</v>
      </c>
      <c r="AB27" s="2">
        <v>0</v>
      </c>
      <c r="AC27" s="2">
        <f t="shared" si="21"/>
        <v>0</v>
      </c>
      <c r="AD27" s="2">
        <v>0</v>
      </c>
      <c r="AE27" s="2">
        <v>0</v>
      </c>
      <c r="AF27" s="2">
        <v>0</v>
      </c>
      <c r="AG27" s="2">
        <v>0</v>
      </c>
      <c r="AH27" s="2">
        <v>0</v>
      </c>
      <c r="AI27" s="2">
        <v>0</v>
      </c>
      <c r="AJ27" s="2">
        <v>0</v>
      </c>
      <c r="AK27" s="2">
        <v>0</v>
      </c>
      <c r="AL27" s="2">
        <f t="shared" si="22"/>
        <v>1</v>
      </c>
      <c r="AM27" s="2" t="s">
        <v>140</v>
      </c>
    </row>
    <row r="28" spans="1:39" x14ac:dyDescent="0.35">
      <c r="AL28" s="2"/>
    </row>
    <row r="29" spans="1:39" x14ac:dyDescent="0.35">
      <c r="Z29" s="13"/>
      <c r="AA29" s="13"/>
      <c r="AB29" s="13"/>
      <c r="AC29" s="13"/>
      <c r="AD29" s="13"/>
      <c r="AE29" s="13"/>
      <c r="AF29" s="13"/>
      <c r="AG29" s="13"/>
      <c r="AH29" s="13"/>
      <c r="AI29" s="13"/>
      <c r="AJ29" s="13"/>
      <c r="AK29" s="13"/>
      <c r="AL29" s="13"/>
    </row>
    <row r="30" spans="1:39" x14ac:dyDescent="0.35">
      <c r="Q30" s="2"/>
      <c r="R30" s="13"/>
      <c r="S30" s="13"/>
    </row>
    <row r="31" spans="1:39" x14ac:dyDescent="0.35">
      <c r="Q31" s="2"/>
      <c r="R31" s="13"/>
      <c r="S31" s="13"/>
    </row>
    <row r="32" spans="1:39" x14ac:dyDescent="0.35">
      <c r="O32" s="1"/>
      <c r="P32" s="1"/>
      <c r="Q32" s="2"/>
      <c r="R32" s="13"/>
      <c r="S32" s="13"/>
    </row>
    <row r="33" spans="15:19" x14ac:dyDescent="0.35">
      <c r="O33" s="1"/>
      <c r="P33" s="1"/>
      <c r="Q33" s="2"/>
      <c r="R33" s="13"/>
      <c r="S33" s="13"/>
    </row>
    <row r="34" spans="15:19" x14ac:dyDescent="0.35">
      <c r="O34" s="1"/>
      <c r="P34" s="1"/>
      <c r="Q34" s="2"/>
      <c r="R34" s="13"/>
      <c r="S34" s="13"/>
    </row>
    <row r="35" spans="15:19" x14ac:dyDescent="0.35">
      <c r="O35" s="1"/>
      <c r="P35" s="1"/>
      <c r="Q35" s="2"/>
      <c r="R35" s="13"/>
      <c r="S35" s="13"/>
    </row>
    <row r="36" spans="15:19" x14ac:dyDescent="0.35">
      <c r="Q36" s="2"/>
      <c r="R36" s="13"/>
      <c r="S36" s="13"/>
    </row>
    <row r="37" spans="15:19" x14ac:dyDescent="0.35">
      <c r="Q37" s="1"/>
    </row>
    <row r="38" spans="15:19" x14ac:dyDescent="0.35">
      <c r="Q38" s="1"/>
    </row>
  </sheetData>
  <pageMargins left="0.7" right="0.7" top="0.75" bottom="0.75" header="0.3" footer="0.3"/>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B16" workbookViewId="0">
      <selection activeCell="M33" sqref="M33"/>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6.453125" customWidth="1"/>
    <col min="11" max="11" width="12.26953125" bestFit="1" customWidth="1"/>
    <col min="13" max="13" width="9.6328125" bestFit="1"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38"/>
      <c r="F6" s="3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250</v>
      </c>
      <c r="C8" s="18">
        <f>COUNTIFS(cyclone_treatment!V2:V27,0,cyclone_treatment!AA2:AA27,1)</f>
        <v>6</v>
      </c>
      <c r="D8" s="18">
        <f>COUNTIFS(cyclone_treatment!V2:V27,"&lt;0",cyclone_treatment!AA2:AA27,1)</f>
        <v>7</v>
      </c>
      <c r="E8" s="18">
        <f>COUNTIFS(cyclone_treatment!V2:V27,"&gt;0",cyclone_treatment!AA2:AA27,1)</f>
        <v>5</v>
      </c>
      <c r="F8" s="18">
        <f>SUM(C8:E8)</f>
        <v>18</v>
      </c>
      <c r="G8" s="18">
        <f>COUNTIFS(cyclone_treatment!Y2:Y27,0,cyclone_treatment!AA2:AA27,1)</f>
        <v>13</v>
      </c>
      <c r="H8" s="18">
        <f>COUNTIFS(cyclone_treatment!Y2:Y27,"&gt;0",cyclone_treatment!AA2:AA27,1)</f>
        <v>5</v>
      </c>
      <c r="I8" s="18">
        <f>SUM(G8:H8)</f>
        <v>18</v>
      </c>
      <c r="J8" s="18">
        <f>COUNTIFS(cyclone_treatment!P2:P27,"&gt;=0",cyclone_treatment!AA2:AA27,1)</f>
        <v>1</v>
      </c>
      <c r="K8" s="18">
        <f>COUNTIFS(cyclone_treatment!P2:P27,"&lt;0",cyclone_treatment!AA2:AA27,1)</f>
        <v>17</v>
      </c>
      <c r="L8" s="18">
        <f>SUM(J8:K8)</f>
        <v>18</v>
      </c>
      <c r="M8" s="18">
        <f>COUNTIFS(cyclone_treatment!M2:M27,0,cyclone_treatment!AA2:AA27,1)</f>
        <v>10</v>
      </c>
      <c r="N8" s="18">
        <f>COUNTIFS(cyclone_treatment!M2:M27,"&lt;0",cyclone_treatment!AA2:AA27,1)</f>
        <v>8</v>
      </c>
      <c r="O8" s="18">
        <f>SUM(M8:N8)</f>
        <v>18</v>
      </c>
    </row>
    <row r="9" spans="2:15" x14ac:dyDescent="0.35">
      <c r="B9" s="6" t="s">
        <v>251</v>
      </c>
      <c r="C9" s="18">
        <f>COUNTIFS(cyclone_treatment!V2:V27,0,cyclone_treatment!AA2:AA27,0)</f>
        <v>4</v>
      </c>
      <c r="D9" s="18">
        <f>COUNTIFS(cyclone_treatment!V2:V27,"&lt;0",cyclone_treatment!AA2:AA27,0)</f>
        <v>2</v>
      </c>
      <c r="E9" s="18">
        <f>COUNTIFS(cyclone_treatment!V2:V27,"&gt;0",cyclone_treatment!AA2:AA27,0)</f>
        <v>2</v>
      </c>
      <c r="F9" s="18">
        <f t="shared" ref="F9" si="0">SUM(C9:E9)</f>
        <v>8</v>
      </c>
      <c r="G9" s="18">
        <f>COUNTIFS(cyclone_treatment!Y2:Y27,0,cyclone_treatment!AA2:AA27,0)</f>
        <v>6</v>
      </c>
      <c r="H9" s="18">
        <f>COUNTIFS(cyclone_treatment!Y2:Y27,"&gt;0",cyclone_treatment!AA2:AA27,0)</f>
        <v>2</v>
      </c>
      <c r="I9" s="18">
        <f>SUM(G9:H9)</f>
        <v>8</v>
      </c>
      <c r="J9" s="18">
        <f>COUNTIFS(cyclone_treatment!P2:P27,"&gt;=0",cyclone_treatment!AA2:AA27,0)</f>
        <v>3</v>
      </c>
      <c r="K9" s="18">
        <f>COUNTIFS(cyclone_treatment!P2:P27,"&lt;0",cyclone_treatment!AA2:AA27,0)</f>
        <v>5</v>
      </c>
      <c r="L9" s="18">
        <f>SUM(J9:K9)</f>
        <v>8</v>
      </c>
      <c r="M9" s="18">
        <f>COUNTIFS(cyclone_treatment!M2:M27,0,cyclone_treatment!AA2:AA27,0)</f>
        <v>3</v>
      </c>
      <c r="N9" s="18">
        <f>COUNTIFS(cyclone_treatment!M2:M27,"&lt;0",cyclone_treatment!AA2:AA27,0)</f>
        <v>5</v>
      </c>
      <c r="O9" s="18">
        <f>SUM(M9:N9)</f>
        <v>8</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38"/>
      <c r="F13" s="3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250</v>
      </c>
      <c r="C15" s="23">
        <f t="shared" ref="C15" si="5">C8/$F8</f>
        <v>0.33333333333333331</v>
      </c>
      <c r="D15" s="23">
        <f t="shared" ref="D15:F15" si="6">D8/$F8</f>
        <v>0.3888888888888889</v>
      </c>
      <c r="E15" s="23">
        <f t="shared" si="6"/>
        <v>0.27777777777777779</v>
      </c>
      <c r="F15" s="23">
        <f t="shared" si="6"/>
        <v>1</v>
      </c>
      <c r="G15" s="23">
        <f t="shared" ref="G15:I17" si="7">G8/$I8</f>
        <v>0.72222222222222221</v>
      </c>
      <c r="H15" s="23">
        <f t="shared" si="7"/>
        <v>0.27777777777777779</v>
      </c>
      <c r="I15" s="23">
        <f t="shared" si="7"/>
        <v>1</v>
      </c>
      <c r="J15" s="23">
        <f t="shared" ref="J15:L17" si="8">J8/$L8</f>
        <v>5.5555555555555552E-2</v>
      </c>
      <c r="K15" s="23">
        <f t="shared" si="8"/>
        <v>0.94444444444444442</v>
      </c>
      <c r="L15" s="23">
        <f t="shared" si="8"/>
        <v>1</v>
      </c>
      <c r="M15" s="23">
        <f t="shared" ref="M15:O17" si="9">M8/$O8</f>
        <v>0.55555555555555558</v>
      </c>
      <c r="N15" s="23">
        <f t="shared" si="9"/>
        <v>0.44444444444444442</v>
      </c>
      <c r="O15" s="23">
        <f t="shared" si="9"/>
        <v>1</v>
      </c>
    </row>
    <row r="16" spans="2:15" x14ac:dyDescent="0.35">
      <c r="B16" s="6" t="s">
        <v>251</v>
      </c>
      <c r="C16" s="23">
        <f t="shared" ref="C16:F16" si="10">C9/$F9</f>
        <v>0.5</v>
      </c>
      <c r="D16" s="23">
        <f t="shared" si="10"/>
        <v>0.25</v>
      </c>
      <c r="E16" s="23">
        <f t="shared" si="10"/>
        <v>0.25</v>
      </c>
      <c r="F16" s="23">
        <f t="shared" si="10"/>
        <v>1</v>
      </c>
      <c r="G16" s="23">
        <f t="shared" si="7"/>
        <v>0.75</v>
      </c>
      <c r="H16" s="23">
        <f t="shared" si="7"/>
        <v>0.25</v>
      </c>
      <c r="I16" s="23">
        <f t="shared" si="7"/>
        <v>1</v>
      </c>
      <c r="J16" s="23">
        <f t="shared" si="8"/>
        <v>0.375</v>
      </c>
      <c r="K16" s="23">
        <f t="shared" si="8"/>
        <v>0.625</v>
      </c>
      <c r="L16" s="23">
        <f t="shared" si="8"/>
        <v>1</v>
      </c>
      <c r="M16" s="23">
        <f t="shared" si="9"/>
        <v>0.375</v>
      </c>
      <c r="N16" s="23">
        <f t="shared" si="9"/>
        <v>0.625</v>
      </c>
      <c r="O16" s="23">
        <f t="shared" si="9"/>
        <v>1</v>
      </c>
    </row>
    <row r="17" spans="2:15" x14ac:dyDescent="0.35">
      <c r="B17" s="3" t="s">
        <v>180</v>
      </c>
      <c r="C17" s="23">
        <f t="shared" ref="C17:F17" si="11">C10/$F10</f>
        <v>0.38461538461538464</v>
      </c>
      <c r="D17" s="23">
        <f t="shared" si="11"/>
        <v>0.34615384615384615</v>
      </c>
      <c r="E17" s="23">
        <f t="shared" si="11"/>
        <v>0.26923076923076922</v>
      </c>
      <c r="F17" s="23">
        <f t="shared" si="11"/>
        <v>1</v>
      </c>
      <c r="G17" s="23">
        <f t="shared" si="7"/>
        <v>0.73076923076923073</v>
      </c>
      <c r="H17" s="23">
        <f t="shared" si="7"/>
        <v>0.26923076923076922</v>
      </c>
      <c r="I17" s="23">
        <f t="shared" si="7"/>
        <v>1</v>
      </c>
      <c r="J17" s="23">
        <f t="shared" si="8"/>
        <v>0.15384615384615385</v>
      </c>
      <c r="K17" s="23">
        <f t="shared" si="8"/>
        <v>0.84615384615384615</v>
      </c>
      <c r="L17" s="23">
        <f t="shared" si="8"/>
        <v>1</v>
      </c>
      <c r="M17" s="23">
        <f t="shared" si="9"/>
        <v>0.5</v>
      </c>
      <c r="N17" s="23">
        <f t="shared" si="9"/>
        <v>0.5</v>
      </c>
      <c r="O17" s="23">
        <f t="shared" si="9"/>
        <v>1</v>
      </c>
    </row>
    <row r="18" spans="2:15" x14ac:dyDescent="0.35">
      <c r="J18" s="1"/>
    </row>
    <row r="19" spans="2:15" x14ac:dyDescent="0.35">
      <c r="B19" s="3" t="s">
        <v>181</v>
      </c>
    </row>
    <row r="20" spans="2:15" x14ac:dyDescent="0.35">
      <c r="C20" s="48" t="s">
        <v>71</v>
      </c>
      <c r="D20" s="48"/>
      <c r="E20" s="38"/>
      <c r="F20" s="3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250</v>
      </c>
      <c r="C22" s="19">
        <f t="shared" ref="C22" si="12">($F8*C$10)/$F$10</f>
        <v>6.9230769230769234</v>
      </c>
      <c r="D22" s="19">
        <f t="shared" ref="D22:F22" si="13">($F8*D$10)/$F$10</f>
        <v>6.2307692307692308</v>
      </c>
      <c r="E22" s="19">
        <f t="shared" si="13"/>
        <v>4.8461538461538458</v>
      </c>
      <c r="F22" s="19">
        <f t="shared" si="13"/>
        <v>18</v>
      </c>
      <c r="G22" s="19">
        <f t="shared" ref="G22:I24" si="14">($I8*G$10)/$I$10</f>
        <v>13.153846153846153</v>
      </c>
      <c r="H22" s="19">
        <f t="shared" si="14"/>
        <v>4.8461538461538458</v>
      </c>
      <c r="I22" s="19">
        <f t="shared" si="14"/>
        <v>18</v>
      </c>
      <c r="J22" s="19">
        <f t="shared" ref="J22:L24" si="15">($L8*J$10)/$L$10</f>
        <v>2.7692307692307692</v>
      </c>
      <c r="K22" s="19">
        <f t="shared" si="15"/>
        <v>15.23076923076923</v>
      </c>
      <c r="L22" s="19">
        <f t="shared" si="15"/>
        <v>18</v>
      </c>
      <c r="M22" s="19">
        <f t="shared" ref="M22:O24" si="16">($O8*M$10)/$O$10</f>
        <v>9</v>
      </c>
      <c r="N22" s="19">
        <f t="shared" si="16"/>
        <v>9</v>
      </c>
      <c r="O22" s="19">
        <f t="shared" si="16"/>
        <v>18</v>
      </c>
    </row>
    <row r="23" spans="2:15" x14ac:dyDescent="0.35">
      <c r="B23" s="6" t="s">
        <v>251</v>
      </c>
      <c r="C23" s="19">
        <f t="shared" ref="C23:F23" si="17">($F9*C$10)/$F$10</f>
        <v>3.0769230769230771</v>
      </c>
      <c r="D23" s="19">
        <f t="shared" si="17"/>
        <v>2.7692307692307692</v>
      </c>
      <c r="E23" s="19">
        <f t="shared" si="17"/>
        <v>2.1538461538461537</v>
      </c>
      <c r="F23" s="19">
        <f t="shared" si="17"/>
        <v>8</v>
      </c>
      <c r="G23" s="19">
        <f t="shared" si="14"/>
        <v>5.8461538461538458</v>
      </c>
      <c r="H23" s="19">
        <f t="shared" si="14"/>
        <v>2.1538461538461537</v>
      </c>
      <c r="I23" s="19">
        <f t="shared" si="14"/>
        <v>8</v>
      </c>
      <c r="J23" s="19">
        <f t="shared" si="15"/>
        <v>1.2307692307692308</v>
      </c>
      <c r="K23" s="19">
        <f t="shared" si="15"/>
        <v>6.7692307692307692</v>
      </c>
      <c r="L23" s="19">
        <f t="shared" si="15"/>
        <v>8</v>
      </c>
      <c r="M23" s="19">
        <f t="shared" si="16"/>
        <v>4</v>
      </c>
      <c r="N23" s="19">
        <f t="shared" si="16"/>
        <v>4</v>
      </c>
      <c r="O23" s="19">
        <f t="shared" si="16"/>
        <v>8</v>
      </c>
    </row>
    <row r="24" spans="2:15" x14ac:dyDescent="0.35">
      <c r="B24" s="3" t="s">
        <v>180</v>
      </c>
      <c r="C24" s="19">
        <f t="shared" ref="C24:F24" si="18">($F10*C$10)/$F$10</f>
        <v>10</v>
      </c>
      <c r="D24" s="19">
        <f t="shared" si="18"/>
        <v>9</v>
      </c>
      <c r="E24" s="19">
        <f t="shared" si="18"/>
        <v>7</v>
      </c>
      <c r="F24" s="19">
        <f t="shared" si="18"/>
        <v>26</v>
      </c>
      <c r="G24" s="19">
        <f t="shared" si="14"/>
        <v>19</v>
      </c>
      <c r="H24" s="19">
        <f t="shared" si="14"/>
        <v>7</v>
      </c>
      <c r="I24" s="19">
        <f t="shared" si="14"/>
        <v>26</v>
      </c>
      <c r="J24" s="19">
        <f t="shared" si="15"/>
        <v>4</v>
      </c>
      <c r="K24" s="19">
        <f t="shared" si="15"/>
        <v>22</v>
      </c>
      <c r="L24" s="19">
        <f t="shared" si="15"/>
        <v>26</v>
      </c>
      <c r="M24" s="19">
        <f t="shared" si="16"/>
        <v>13</v>
      </c>
      <c r="N24" s="19">
        <f t="shared" si="16"/>
        <v>13</v>
      </c>
      <c r="O24" s="19">
        <f t="shared" si="16"/>
        <v>26</v>
      </c>
    </row>
    <row r="26" spans="2:15" x14ac:dyDescent="0.35">
      <c r="B26" s="3" t="s">
        <v>182</v>
      </c>
    </row>
    <row r="27" spans="2:15" x14ac:dyDescent="0.35">
      <c r="C27" s="48" t="s">
        <v>71</v>
      </c>
      <c r="D27" s="48"/>
      <c r="E27" s="38"/>
      <c r="F27" s="3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250</v>
      </c>
      <c r="C29" s="29">
        <f t="shared" ref="C29:C30" si="19">(C8-C22)^2/C22</f>
        <v>0.12307692307692314</v>
      </c>
      <c r="D29" s="29">
        <f t="shared" ref="D29:E29" si="20">(D8-D22)^2/D22</f>
        <v>9.4966761633428279E-2</v>
      </c>
      <c r="E29" s="29">
        <f t="shared" si="20"/>
        <v>4.8840048840049057E-3</v>
      </c>
      <c r="F29" s="29"/>
      <c r="G29" s="29">
        <f>(G8-G22)^2/G22</f>
        <v>1.7993702204228393E-3</v>
      </c>
      <c r="H29" s="29">
        <f t="shared" ref="H29" si="21">(H8-H22)^2/H22</f>
        <v>4.8840048840049057E-3</v>
      </c>
      <c r="I29" s="29"/>
      <c r="J29" s="29">
        <f>(J8-J22)^2/J22</f>
        <v>1.1303418803418803</v>
      </c>
      <c r="K29" s="29">
        <f t="shared" ref="K29" si="22">(K8-K22)^2/K22</f>
        <v>0.20551670551670573</v>
      </c>
      <c r="L29" s="29"/>
      <c r="M29" s="29">
        <f>(M8-M22)^2/M22</f>
        <v>0.1111111111111111</v>
      </c>
      <c r="N29" s="29">
        <f t="shared" ref="N29" si="23">(N8-N22)^2/N22</f>
        <v>0.1111111111111111</v>
      </c>
      <c r="O29" s="21"/>
    </row>
    <row r="30" spans="2:15" x14ac:dyDescent="0.35">
      <c r="B30" s="6" t="s">
        <v>251</v>
      </c>
      <c r="C30" s="29">
        <f t="shared" si="19"/>
        <v>0.27692307692307683</v>
      </c>
      <c r="D30" s="29">
        <f t="shared" ref="D30:E30" si="24">(D9-D23)^2/D23</f>
        <v>0.21367521367521364</v>
      </c>
      <c r="E30" s="29">
        <f t="shared" si="24"/>
        <v>1.0989010989010974E-2</v>
      </c>
      <c r="F30" s="29"/>
      <c r="G30" s="29">
        <f>(G9-G23)^2/G23</f>
        <v>4.0485829959514353E-3</v>
      </c>
      <c r="H30" s="29">
        <f t="shared" ref="H30" si="25">(H9-H23)^2/H23</f>
        <v>1.0989010989010974E-2</v>
      </c>
      <c r="I30" s="29"/>
      <c r="J30" s="29">
        <f>(J9-J23)^2/J23</f>
        <v>2.5432692307692304</v>
      </c>
      <c r="K30" s="29">
        <f t="shared" ref="K30" si="26">(K9-K23)^2/K23</f>
        <v>0.46241258741258739</v>
      </c>
      <c r="L30" s="29"/>
      <c r="M30" s="29">
        <f>(M9-M23)^2/M23</f>
        <v>0.25</v>
      </c>
      <c r="N30" s="29">
        <f t="shared" ref="N30" si="27">(N9-N23)^2/N23</f>
        <v>0.25</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0.72451499118165774</v>
      </c>
      <c r="E33" s="13"/>
      <c r="F33" s="13"/>
      <c r="G33" s="13">
        <f>G29+G30+H29+H30</f>
        <v>2.1720969089390155E-2</v>
      </c>
      <c r="H33" s="13"/>
      <c r="I33" s="13"/>
      <c r="J33" s="13">
        <f>J29+K29+J30+K30</f>
        <v>4.341540404040404</v>
      </c>
      <c r="K33" s="13"/>
      <c r="L33" s="13"/>
      <c r="M33" s="13">
        <f>M29+N29+M30+N30</f>
        <v>0.72222222222222221</v>
      </c>
    </row>
    <row r="34" spans="2:13" x14ac:dyDescent="0.35">
      <c r="B34" s="3" t="s">
        <v>184</v>
      </c>
      <c r="D34" s="24">
        <f>_xlfn.CHISQ.DIST.RT(D33,D32)</f>
        <v>0.69610310128324449</v>
      </c>
      <c r="E34" s="32"/>
      <c r="G34" s="24">
        <f>_xlfn.CHISQ.DIST.RT(G33,G32)</f>
        <v>0.88283181049881554</v>
      </c>
      <c r="J34" s="42">
        <f>_xlfn.CHISQ.DIST.RT(J33,J32)</f>
        <v>3.7193258701446817E-2</v>
      </c>
      <c r="M34" s="24">
        <f>_xlfn.CHISQ.DIST.RT(M33,M32)</f>
        <v>0.39541594602256863</v>
      </c>
    </row>
  </sheetData>
  <mergeCells count="16">
    <mergeCell ref="M6:O6"/>
    <mergeCell ref="C13:D13"/>
    <mergeCell ref="G13:I13"/>
    <mergeCell ref="J13:L13"/>
    <mergeCell ref="M13:O13"/>
    <mergeCell ref="C6:D6"/>
    <mergeCell ref="G6:I6"/>
    <mergeCell ref="J6:L6"/>
    <mergeCell ref="M20:O20"/>
    <mergeCell ref="C27:D27"/>
    <mergeCell ref="G27:I27"/>
    <mergeCell ref="J27:L27"/>
    <mergeCell ref="M27:O27"/>
    <mergeCell ref="C20:D20"/>
    <mergeCell ref="G20:I20"/>
    <mergeCell ref="J20:L20"/>
  </mergeCells>
  <pageMargins left="0.7" right="0.7" top="0.75" bottom="0.75" header="0.3" footer="0.3"/>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B16" workbookViewId="0">
      <selection activeCell="L30" sqref="L30"/>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6.36328125"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40"/>
      <c r="F6" s="4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264</v>
      </c>
      <c r="C8" s="18">
        <f>COUNTIFS(cyclone_treatment!V2:V27,0,cyclone_treatment!AG2:AG27,1)</f>
        <v>7</v>
      </c>
      <c r="D8" s="18">
        <f>COUNTIFS(cyclone_treatment!V2:V27,"&lt;0",cyclone_treatment!AG2:AG27,1)</f>
        <v>4</v>
      </c>
      <c r="E8" s="18">
        <f>COUNTIFS(cyclone_treatment!V2:V27,"&gt;0",cyclone_treatment!AG2:AG27,1)</f>
        <v>6</v>
      </c>
      <c r="F8" s="18">
        <f>SUM(C8:E8)</f>
        <v>17</v>
      </c>
      <c r="G8" s="18">
        <f>COUNTIFS(cyclone_treatment!Y2:Y27,0,cyclone_treatment!AG2:AG27,1)</f>
        <v>12</v>
      </c>
      <c r="H8" s="18">
        <f>COUNTIFS(cyclone_treatment!Y2:Y27,"&gt;0",cyclone_treatment!AG2:AG27,1)</f>
        <v>5</v>
      </c>
      <c r="I8" s="18">
        <f>SUM(G8:H8)</f>
        <v>17</v>
      </c>
      <c r="J8" s="18">
        <f>COUNTIFS(cyclone_treatment!P2:P27,"&gt;=0",cyclone_treatment!AG2:AG27,1)</f>
        <v>2</v>
      </c>
      <c r="K8" s="18">
        <f>COUNTIFS(cyclone_treatment!P2:P27,"&lt;0",cyclone_treatment!AG2:AG27,1)</f>
        <v>15</v>
      </c>
      <c r="L8" s="18">
        <f>SUM(J8:K8)</f>
        <v>17</v>
      </c>
      <c r="M8" s="18">
        <f>COUNTIFS(cyclone_treatment!M2:M27,0,cyclone_treatment!AG2:AG27,1)</f>
        <v>10</v>
      </c>
      <c r="N8" s="18">
        <f>COUNTIFS(cyclone_treatment!M2:M27,"&lt;0",cyclone_treatment!AG2:AG27,1)</f>
        <v>7</v>
      </c>
      <c r="O8" s="18">
        <f>SUM(M8:N8)</f>
        <v>17</v>
      </c>
    </row>
    <row r="9" spans="2:15" x14ac:dyDescent="0.35">
      <c r="B9" s="6" t="s">
        <v>265</v>
      </c>
      <c r="C9" s="18">
        <f>COUNTIFS(cyclone_treatment!V2:V27,0,cyclone_treatment!AG2:AG27,0)</f>
        <v>3</v>
      </c>
      <c r="D9" s="18">
        <f>COUNTIFS(cyclone_treatment!V2:V27,"&lt;0",cyclone_treatment!AG2:AG27,0)</f>
        <v>5</v>
      </c>
      <c r="E9" s="18">
        <f>COUNTIFS(cyclone_treatment!V2:V27,"&gt;0",cyclone_treatment!AG2:AG27,0)</f>
        <v>1</v>
      </c>
      <c r="F9" s="18">
        <f t="shared" ref="F9" si="0">SUM(C9:E9)</f>
        <v>9</v>
      </c>
      <c r="G9" s="18">
        <f>COUNTIFS(cyclone_treatment!Y2:Y27,0,cyclone_treatment!AG2:AG27,0)</f>
        <v>7</v>
      </c>
      <c r="H9" s="18">
        <f>COUNTIFS(cyclone_treatment!Y2:Y27,"&gt;0",cyclone_treatment!AG2:AG27,0)</f>
        <v>2</v>
      </c>
      <c r="I9" s="18">
        <f>SUM(G9:H9)</f>
        <v>9</v>
      </c>
      <c r="J9" s="18">
        <f>COUNTIFS(cyclone_treatment!P2:P27,"&gt;=0",cyclone_treatment!AG2:AG27,0)</f>
        <v>2</v>
      </c>
      <c r="K9" s="18">
        <f>COUNTIFS(cyclone_treatment!P2:P27,"&lt;0",cyclone_treatment!AG2:AG27,0)</f>
        <v>7</v>
      </c>
      <c r="L9" s="18">
        <f>SUM(J9:K9)</f>
        <v>9</v>
      </c>
      <c r="M9" s="18">
        <f>COUNTIFS(cyclone_treatment!M2:M27,0,cyclone_treatment!AG2:AG27,0)</f>
        <v>3</v>
      </c>
      <c r="N9" s="18">
        <f>COUNTIFS(cyclone_treatment!M2:M27,"&lt;0",cyclone_treatment!AG2:AG27,0)</f>
        <v>6</v>
      </c>
      <c r="O9" s="18">
        <f>SUM(M9:N9)</f>
        <v>9</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40"/>
      <c r="F13" s="4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264</v>
      </c>
      <c r="C15" s="23">
        <f t="shared" ref="C15:F17" si="5">C8/$F8</f>
        <v>0.41176470588235292</v>
      </c>
      <c r="D15" s="23">
        <f t="shared" si="5"/>
        <v>0.23529411764705882</v>
      </c>
      <c r="E15" s="23">
        <f t="shared" si="5"/>
        <v>0.35294117647058826</v>
      </c>
      <c r="F15" s="23">
        <f t="shared" si="5"/>
        <v>1</v>
      </c>
      <c r="G15" s="23">
        <f t="shared" ref="G15:I17" si="6">G8/$I8</f>
        <v>0.70588235294117652</v>
      </c>
      <c r="H15" s="23">
        <f t="shared" si="6"/>
        <v>0.29411764705882354</v>
      </c>
      <c r="I15" s="23">
        <f t="shared" si="6"/>
        <v>1</v>
      </c>
      <c r="J15" s="23">
        <f t="shared" ref="J15:L17" si="7">J8/$L8</f>
        <v>0.11764705882352941</v>
      </c>
      <c r="K15" s="23">
        <f t="shared" si="7"/>
        <v>0.88235294117647056</v>
      </c>
      <c r="L15" s="23">
        <f t="shared" si="7"/>
        <v>1</v>
      </c>
      <c r="M15" s="23">
        <f t="shared" ref="M15:O17" si="8">M8/$O8</f>
        <v>0.58823529411764708</v>
      </c>
      <c r="N15" s="23">
        <f t="shared" si="8"/>
        <v>0.41176470588235292</v>
      </c>
      <c r="O15" s="23">
        <f t="shared" si="8"/>
        <v>1</v>
      </c>
    </row>
    <row r="16" spans="2:15" x14ac:dyDescent="0.35">
      <c r="B16" s="6" t="s">
        <v>265</v>
      </c>
      <c r="C16" s="23">
        <f t="shared" si="5"/>
        <v>0.33333333333333331</v>
      </c>
      <c r="D16" s="23">
        <f t="shared" si="5"/>
        <v>0.55555555555555558</v>
      </c>
      <c r="E16" s="23">
        <f t="shared" si="5"/>
        <v>0.1111111111111111</v>
      </c>
      <c r="F16" s="23">
        <f t="shared" si="5"/>
        <v>1</v>
      </c>
      <c r="G16" s="23">
        <f t="shared" si="6"/>
        <v>0.77777777777777779</v>
      </c>
      <c r="H16" s="23">
        <f t="shared" si="6"/>
        <v>0.22222222222222221</v>
      </c>
      <c r="I16" s="23">
        <f t="shared" si="6"/>
        <v>1</v>
      </c>
      <c r="J16" s="23">
        <f t="shared" si="7"/>
        <v>0.22222222222222221</v>
      </c>
      <c r="K16" s="23">
        <f t="shared" si="7"/>
        <v>0.77777777777777779</v>
      </c>
      <c r="L16" s="23">
        <f t="shared" si="7"/>
        <v>1</v>
      </c>
      <c r="M16" s="23">
        <f t="shared" si="8"/>
        <v>0.33333333333333331</v>
      </c>
      <c r="N16" s="23">
        <f t="shared" si="8"/>
        <v>0.66666666666666663</v>
      </c>
      <c r="O16" s="23">
        <f t="shared" si="8"/>
        <v>1</v>
      </c>
    </row>
    <row r="17" spans="2:15" x14ac:dyDescent="0.35">
      <c r="B17" s="3" t="s">
        <v>180</v>
      </c>
      <c r="C17" s="23">
        <f t="shared" si="5"/>
        <v>0.38461538461538464</v>
      </c>
      <c r="D17" s="23">
        <f t="shared" si="5"/>
        <v>0.34615384615384615</v>
      </c>
      <c r="E17" s="23">
        <f t="shared" si="5"/>
        <v>0.26923076923076922</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40"/>
      <c r="F20" s="4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264</v>
      </c>
      <c r="C22" s="19">
        <f t="shared" ref="C22:F24" si="9">($F8*C$10)/$F$10</f>
        <v>6.5384615384615383</v>
      </c>
      <c r="D22" s="19">
        <f t="shared" si="9"/>
        <v>5.884615384615385</v>
      </c>
      <c r="E22" s="19">
        <f t="shared" si="9"/>
        <v>4.5769230769230766</v>
      </c>
      <c r="F22" s="19">
        <f t="shared" si="9"/>
        <v>17</v>
      </c>
      <c r="G22" s="19">
        <f t="shared" ref="G22:I24" si="10">($I8*G$10)/$I$10</f>
        <v>12.423076923076923</v>
      </c>
      <c r="H22" s="19">
        <f t="shared" si="10"/>
        <v>4.5769230769230766</v>
      </c>
      <c r="I22" s="19">
        <f t="shared" si="10"/>
        <v>17</v>
      </c>
      <c r="J22" s="19">
        <f t="shared" ref="J22:L24" si="11">($L8*J$10)/$L$10</f>
        <v>2.6153846153846154</v>
      </c>
      <c r="K22" s="19">
        <f t="shared" si="11"/>
        <v>14.384615384615385</v>
      </c>
      <c r="L22" s="19">
        <f t="shared" si="11"/>
        <v>17</v>
      </c>
      <c r="M22" s="19">
        <f t="shared" ref="M22:O24" si="12">($O8*M$10)/$O$10</f>
        <v>8.5</v>
      </c>
      <c r="N22" s="19">
        <f t="shared" si="12"/>
        <v>8.5</v>
      </c>
      <c r="O22" s="19">
        <f t="shared" si="12"/>
        <v>17</v>
      </c>
    </row>
    <row r="23" spans="2:15" x14ac:dyDescent="0.35">
      <c r="B23" s="6" t="s">
        <v>265</v>
      </c>
      <c r="C23" s="19">
        <f t="shared" si="9"/>
        <v>3.4615384615384617</v>
      </c>
      <c r="D23" s="19">
        <f t="shared" si="9"/>
        <v>3.1153846153846154</v>
      </c>
      <c r="E23" s="19">
        <f t="shared" si="9"/>
        <v>2.4230769230769229</v>
      </c>
      <c r="F23" s="19">
        <f t="shared" si="9"/>
        <v>9</v>
      </c>
      <c r="G23" s="19">
        <f t="shared" si="10"/>
        <v>6.5769230769230766</v>
      </c>
      <c r="H23" s="19">
        <f t="shared" si="10"/>
        <v>2.4230769230769229</v>
      </c>
      <c r="I23" s="19">
        <f t="shared" si="10"/>
        <v>9</v>
      </c>
      <c r="J23" s="19">
        <f t="shared" si="11"/>
        <v>1.3846153846153846</v>
      </c>
      <c r="K23" s="19">
        <f t="shared" si="11"/>
        <v>7.615384615384615</v>
      </c>
      <c r="L23" s="19">
        <f t="shared" si="11"/>
        <v>9</v>
      </c>
      <c r="M23" s="19">
        <f t="shared" si="12"/>
        <v>4.5</v>
      </c>
      <c r="N23" s="19">
        <f t="shared" si="12"/>
        <v>4.5</v>
      </c>
      <c r="O23" s="19">
        <f t="shared" si="12"/>
        <v>9</v>
      </c>
    </row>
    <row r="24" spans="2:15" x14ac:dyDescent="0.35">
      <c r="B24" s="3" t="s">
        <v>180</v>
      </c>
      <c r="C24" s="19">
        <f t="shared" si="9"/>
        <v>10</v>
      </c>
      <c r="D24" s="19">
        <f t="shared" si="9"/>
        <v>9</v>
      </c>
      <c r="E24" s="19">
        <f t="shared" si="9"/>
        <v>7</v>
      </c>
      <c r="F24" s="19">
        <f t="shared" si="9"/>
        <v>26</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40"/>
      <c r="F27" s="4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264</v>
      </c>
      <c r="C29" s="29">
        <f t="shared" ref="C29:E30" si="13">(C8-C22)^2/C22</f>
        <v>3.2579185520362007E-2</v>
      </c>
      <c r="D29" s="29">
        <f t="shared" si="13"/>
        <v>0.60356963298139799</v>
      </c>
      <c r="E29" s="29">
        <f t="shared" si="13"/>
        <v>0.44246929541047203</v>
      </c>
      <c r="F29" s="29"/>
      <c r="G29" s="29">
        <f>(G8-G22)^2/G22</f>
        <v>1.4408192426768296E-2</v>
      </c>
      <c r="H29" s="29">
        <f t="shared" ref="H29:H30" si="14">(H8-H22)^2/H22</f>
        <v>3.9107950872656803E-2</v>
      </c>
      <c r="I29" s="29"/>
      <c r="J29" s="29">
        <f>(J8-J22)^2/J22</f>
        <v>0.14479638009049775</v>
      </c>
      <c r="K29" s="29">
        <f t="shared" ref="K29:K30" si="15">(K8-K22)^2/K22</f>
        <v>2.6326614561908643E-2</v>
      </c>
      <c r="L29" s="29"/>
      <c r="M29" s="29">
        <f>(M8-M22)^2/M22</f>
        <v>0.26470588235294118</v>
      </c>
      <c r="N29" s="29">
        <f t="shared" ref="N29:N30" si="16">(N8-N22)^2/N22</f>
        <v>0.26470588235294118</v>
      </c>
      <c r="O29" s="21"/>
    </row>
    <row r="30" spans="2:15" x14ac:dyDescent="0.35">
      <c r="B30" s="6" t="s">
        <v>265</v>
      </c>
      <c r="C30" s="29">
        <f t="shared" si="13"/>
        <v>6.153846153846157E-2</v>
      </c>
      <c r="D30" s="29">
        <f t="shared" si="13"/>
        <v>1.1400759734093067</v>
      </c>
      <c r="E30" s="29">
        <f t="shared" si="13"/>
        <v>0.83577533577533558</v>
      </c>
      <c r="F30" s="29"/>
      <c r="G30" s="29">
        <f>(G9-G23)^2/G23</f>
        <v>2.7215474583895671E-2</v>
      </c>
      <c r="H30" s="29">
        <f t="shared" si="14"/>
        <v>7.3870573870573816E-2</v>
      </c>
      <c r="I30" s="29"/>
      <c r="J30" s="29">
        <f>(J9-J23)^2/J23</f>
        <v>0.27350427350427353</v>
      </c>
      <c r="K30" s="29">
        <f t="shared" si="15"/>
        <v>4.9728049728049666E-2</v>
      </c>
      <c r="L30" s="29"/>
      <c r="M30" s="29">
        <f>(M9-M23)^2/M23</f>
        <v>0.5</v>
      </c>
      <c r="N30" s="29">
        <f t="shared" si="16"/>
        <v>0.5</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3.1160078846353358</v>
      </c>
      <c r="E33" s="13"/>
      <c r="F33" s="13"/>
      <c r="G33" s="13">
        <f>G29+G30+H29+H30</f>
        <v>0.15460219175389459</v>
      </c>
      <c r="H33" s="13"/>
      <c r="I33" s="13"/>
      <c r="J33" s="13">
        <f>J29+K29+J30+K30</f>
        <v>0.49435531788472958</v>
      </c>
      <c r="K33" s="13"/>
      <c r="L33" s="13"/>
      <c r="M33" s="13">
        <f>M29+N29+M30+N30</f>
        <v>1.5294117647058822</v>
      </c>
    </row>
    <row r="34" spans="2:13" x14ac:dyDescent="0.35">
      <c r="B34" s="3" t="s">
        <v>184</v>
      </c>
      <c r="D34" s="24">
        <f>_xlfn.CHISQ.DIST.RT(D33,D32)</f>
        <v>0.21055593381561605</v>
      </c>
      <c r="E34" s="32"/>
      <c r="G34" s="24">
        <f>_xlfn.CHISQ.DIST.RT(G33,G32)</f>
        <v>0.69417557155995857</v>
      </c>
      <c r="J34" s="24">
        <f>_xlfn.CHISQ.DIST.RT(J33,J32)</f>
        <v>0.48199090275631007</v>
      </c>
      <c r="M34" s="24">
        <f>_xlfn.CHISQ.DIST.RT(M33,M32)</f>
        <v>0.21620074983725768</v>
      </c>
    </row>
  </sheetData>
  <mergeCells count="16">
    <mergeCell ref="C6:D6"/>
    <mergeCell ref="G6:I6"/>
    <mergeCell ref="J6:L6"/>
    <mergeCell ref="M6:O6"/>
    <mergeCell ref="C13:D13"/>
    <mergeCell ref="G13:I13"/>
    <mergeCell ref="J13:L13"/>
    <mergeCell ref="M13:O13"/>
    <mergeCell ref="C20:D20"/>
    <mergeCell ref="G20:I20"/>
    <mergeCell ref="J20:L20"/>
    <mergeCell ref="M20:O20"/>
    <mergeCell ref="C27:D27"/>
    <mergeCell ref="G27:I27"/>
    <mergeCell ref="J27:L27"/>
    <mergeCell ref="M27:O27"/>
  </mergeCells>
  <pageMargins left="0.7" right="0.7" top="0.75" bottom="0.75" header="0.3" footer="0.3"/>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B16" workbookViewId="0">
      <selection activeCell="M34" sqref="M34"/>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7.1796875" bestFit="1"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40"/>
      <c r="F6" s="4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256</v>
      </c>
      <c r="C8" s="18">
        <f>COUNTIFS(cyclone_treatment!V2:V27,0,cyclone_treatment!AE2:AE27,1)</f>
        <v>4</v>
      </c>
      <c r="D8" s="18">
        <f>COUNTIFS(cyclone_treatment!V2:V27,"&lt;0",cyclone_treatment!AE2:AE27,1)</f>
        <v>6</v>
      </c>
      <c r="E8" s="18">
        <f>COUNTIFS(cyclone_treatment!V2:V27,"&gt;0",cyclone_treatment!AE2:AE27,1)</f>
        <v>4</v>
      </c>
      <c r="F8" s="18">
        <f>SUM(C8:E8)</f>
        <v>14</v>
      </c>
      <c r="G8" s="18">
        <f>COUNTIFS(cyclone_treatment!Y2:Y27,0,cyclone_treatment!AE2:AE27,1)</f>
        <v>8</v>
      </c>
      <c r="H8" s="18">
        <f>COUNTIFS(cyclone_treatment!Y2:Y27,"&gt;0",cyclone_treatment!AE2:AE27,1)</f>
        <v>6</v>
      </c>
      <c r="I8" s="18">
        <f>SUM(G8:H8)</f>
        <v>14</v>
      </c>
      <c r="J8" s="18">
        <f>COUNTIFS(cyclone_treatment!P2:P27,"&gt;=0",cyclone_treatment!AE2:AE27,1)</f>
        <v>1</v>
      </c>
      <c r="K8" s="18">
        <f>COUNTIFS(cyclone_treatment!P2:P27,"&lt;0",cyclone_treatment!AE2:AE27,1)</f>
        <v>13</v>
      </c>
      <c r="L8" s="18">
        <f>SUM(J8:K8)</f>
        <v>14</v>
      </c>
      <c r="M8" s="18">
        <f>COUNTIFS(cyclone_treatment!M2:M27,0,cyclone_treatment!AE2:AE27,1)</f>
        <v>6</v>
      </c>
      <c r="N8" s="18">
        <f>COUNTIFS(cyclone_treatment!M2:M27,"&lt;0",cyclone_treatment!AE2:AE27,1)</f>
        <v>8</v>
      </c>
      <c r="O8" s="18">
        <f>SUM(M8:N8)</f>
        <v>14</v>
      </c>
    </row>
    <row r="9" spans="2:15" x14ac:dyDescent="0.35">
      <c r="B9" s="6" t="s">
        <v>257</v>
      </c>
      <c r="C9" s="18">
        <f>COUNTIFS(cyclone_treatment!V2:V27,0,cyclone_treatment!AE2:AE27,0)</f>
        <v>6</v>
      </c>
      <c r="D9" s="18">
        <f>COUNTIFS(cyclone_treatment!V2:V27,"&lt;0",cyclone_treatment!AE2:AE27,0)</f>
        <v>3</v>
      </c>
      <c r="E9" s="18">
        <f>COUNTIFS(cyclone_treatment!V2:V27,"&gt;0",cyclone_treatment!AE2:AE27,0)</f>
        <v>3</v>
      </c>
      <c r="F9" s="18">
        <f t="shared" ref="F9" si="0">SUM(C9:E9)</f>
        <v>12</v>
      </c>
      <c r="G9" s="18">
        <f>COUNTIFS(cyclone_treatment!Y2:Y27,0,cyclone_treatment!AE2:AE27,0)</f>
        <v>11</v>
      </c>
      <c r="H9" s="18">
        <f>COUNTIFS(cyclone_treatment!Y2:Y27,"&gt;0",cyclone_treatment!AE2:AE27,0)</f>
        <v>1</v>
      </c>
      <c r="I9" s="18">
        <f>SUM(G9:H9)</f>
        <v>12</v>
      </c>
      <c r="J9" s="18">
        <f>COUNTIFS(cyclone_treatment!P2:P27,"&gt;=0",cyclone_treatment!AE2:AE27,0)</f>
        <v>3</v>
      </c>
      <c r="K9" s="18">
        <f>COUNTIFS(cyclone_treatment!P2:P27,"&lt;0",cyclone_treatment!AE2:AE27,0)</f>
        <v>9</v>
      </c>
      <c r="L9" s="18">
        <f>SUM(J9:K9)</f>
        <v>12</v>
      </c>
      <c r="M9" s="18">
        <f>COUNTIFS(cyclone_treatment!M2:M27,0,cyclone_treatment!AE2:AE27,0)</f>
        <v>7</v>
      </c>
      <c r="N9" s="18">
        <f>COUNTIFS(cyclone_treatment!M2:M27,"&lt;0",cyclone_treatment!AE2:AE27,0)</f>
        <v>5</v>
      </c>
      <c r="O9" s="18">
        <f>SUM(M9:N9)</f>
        <v>12</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40"/>
      <c r="F13" s="4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256</v>
      </c>
      <c r="C15" s="23">
        <f t="shared" ref="C15:F17" si="5">C8/$F8</f>
        <v>0.2857142857142857</v>
      </c>
      <c r="D15" s="23">
        <f t="shared" si="5"/>
        <v>0.42857142857142855</v>
      </c>
      <c r="E15" s="23">
        <f t="shared" si="5"/>
        <v>0.2857142857142857</v>
      </c>
      <c r="F15" s="23">
        <f t="shared" si="5"/>
        <v>1</v>
      </c>
      <c r="G15" s="23">
        <f t="shared" ref="G15:I17" si="6">G8/$I8</f>
        <v>0.5714285714285714</v>
      </c>
      <c r="H15" s="23">
        <f t="shared" si="6"/>
        <v>0.42857142857142855</v>
      </c>
      <c r="I15" s="23">
        <f t="shared" si="6"/>
        <v>1</v>
      </c>
      <c r="J15" s="23">
        <f t="shared" ref="J15:L17" si="7">J8/$L8</f>
        <v>7.1428571428571425E-2</v>
      </c>
      <c r="K15" s="23">
        <f t="shared" si="7"/>
        <v>0.9285714285714286</v>
      </c>
      <c r="L15" s="23">
        <f t="shared" si="7"/>
        <v>1</v>
      </c>
      <c r="M15" s="23">
        <f t="shared" ref="M15:O17" si="8">M8/$O8</f>
        <v>0.42857142857142855</v>
      </c>
      <c r="N15" s="23">
        <f t="shared" si="8"/>
        <v>0.5714285714285714</v>
      </c>
      <c r="O15" s="23">
        <f t="shared" si="8"/>
        <v>1</v>
      </c>
    </row>
    <row r="16" spans="2:15" x14ac:dyDescent="0.35">
      <c r="B16" s="6" t="s">
        <v>257</v>
      </c>
      <c r="C16" s="23">
        <f t="shared" si="5"/>
        <v>0.5</v>
      </c>
      <c r="D16" s="23">
        <f t="shared" si="5"/>
        <v>0.25</v>
      </c>
      <c r="E16" s="23">
        <f t="shared" si="5"/>
        <v>0.25</v>
      </c>
      <c r="F16" s="23">
        <f t="shared" si="5"/>
        <v>1</v>
      </c>
      <c r="G16" s="23">
        <f t="shared" si="6"/>
        <v>0.91666666666666663</v>
      </c>
      <c r="H16" s="23">
        <f t="shared" si="6"/>
        <v>8.3333333333333329E-2</v>
      </c>
      <c r="I16" s="23">
        <f t="shared" si="6"/>
        <v>1</v>
      </c>
      <c r="J16" s="23">
        <f t="shared" si="7"/>
        <v>0.25</v>
      </c>
      <c r="K16" s="23">
        <f t="shared" si="7"/>
        <v>0.75</v>
      </c>
      <c r="L16" s="23">
        <f t="shared" si="7"/>
        <v>1</v>
      </c>
      <c r="M16" s="23">
        <f t="shared" si="8"/>
        <v>0.58333333333333337</v>
      </c>
      <c r="N16" s="23">
        <f t="shared" si="8"/>
        <v>0.41666666666666669</v>
      </c>
      <c r="O16" s="23">
        <f t="shared" si="8"/>
        <v>1</v>
      </c>
    </row>
    <row r="17" spans="2:15" x14ac:dyDescent="0.35">
      <c r="B17" s="3" t="s">
        <v>180</v>
      </c>
      <c r="C17" s="23">
        <f t="shared" si="5"/>
        <v>0.38461538461538464</v>
      </c>
      <c r="D17" s="23">
        <f t="shared" si="5"/>
        <v>0.34615384615384615</v>
      </c>
      <c r="E17" s="23">
        <f t="shared" si="5"/>
        <v>0.26923076923076922</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40"/>
      <c r="F20" s="4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256</v>
      </c>
      <c r="C22" s="19">
        <f t="shared" ref="C22:F24" si="9">($F8*C$10)/$F$10</f>
        <v>5.384615384615385</v>
      </c>
      <c r="D22" s="19">
        <f t="shared" si="9"/>
        <v>4.8461538461538458</v>
      </c>
      <c r="E22" s="19">
        <f t="shared" si="9"/>
        <v>3.7692307692307692</v>
      </c>
      <c r="F22" s="19">
        <f t="shared" si="9"/>
        <v>14</v>
      </c>
      <c r="G22" s="19">
        <f t="shared" ref="G22:I24" si="10">($I8*G$10)/$I$10</f>
        <v>10.23076923076923</v>
      </c>
      <c r="H22" s="19">
        <f t="shared" si="10"/>
        <v>3.7692307692307692</v>
      </c>
      <c r="I22" s="19">
        <f t="shared" si="10"/>
        <v>14</v>
      </c>
      <c r="J22" s="19">
        <f t="shared" ref="J22:L24" si="11">($L8*J$10)/$L$10</f>
        <v>2.1538461538461537</v>
      </c>
      <c r="K22" s="19">
        <f t="shared" si="11"/>
        <v>11.846153846153847</v>
      </c>
      <c r="L22" s="19">
        <f t="shared" si="11"/>
        <v>14</v>
      </c>
      <c r="M22" s="19">
        <f t="shared" ref="M22:O24" si="12">($O8*M$10)/$O$10</f>
        <v>7</v>
      </c>
      <c r="N22" s="19">
        <f t="shared" si="12"/>
        <v>7</v>
      </c>
      <c r="O22" s="19">
        <f t="shared" si="12"/>
        <v>14</v>
      </c>
    </row>
    <row r="23" spans="2:15" x14ac:dyDescent="0.35">
      <c r="B23" s="6" t="s">
        <v>257</v>
      </c>
      <c r="C23" s="19">
        <f t="shared" si="9"/>
        <v>4.615384615384615</v>
      </c>
      <c r="D23" s="19">
        <f t="shared" si="9"/>
        <v>4.1538461538461542</v>
      </c>
      <c r="E23" s="19">
        <f t="shared" si="9"/>
        <v>3.2307692307692308</v>
      </c>
      <c r="F23" s="19">
        <f t="shared" si="9"/>
        <v>12</v>
      </c>
      <c r="G23" s="19">
        <f t="shared" si="10"/>
        <v>8.7692307692307701</v>
      </c>
      <c r="H23" s="19">
        <f t="shared" si="10"/>
        <v>3.2307692307692308</v>
      </c>
      <c r="I23" s="19">
        <f t="shared" si="10"/>
        <v>12</v>
      </c>
      <c r="J23" s="19">
        <f t="shared" si="11"/>
        <v>1.8461538461538463</v>
      </c>
      <c r="K23" s="19">
        <f t="shared" si="11"/>
        <v>10.153846153846153</v>
      </c>
      <c r="L23" s="19">
        <f t="shared" si="11"/>
        <v>12</v>
      </c>
      <c r="M23" s="19">
        <f t="shared" si="12"/>
        <v>6</v>
      </c>
      <c r="N23" s="19">
        <f t="shared" si="12"/>
        <v>6</v>
      </c>
      <c r="O23" s="19">
        <f t="shared" si="12"/>
        <v>12</v>
      </c>
    </row>
    <row r="24" spans="2:15" x14ac:dyDescent="0.35">
      <c r="B24" s="3" t="s">
        <v>180</v>
      </c>
      <c r="C24" s="19">
        <f t="shared" si="9"/>
        <v>10</v>
      </c>
      <c r="D24" s="19">
        <f t="shared" si="9"/>
        <v>9</v>
      </c>
      <c r="E24" s="19">
        <f t="shared" si="9"/>
        <v>7</v>
      </c>
      <c r="F24" s="19">
        <f t="shared" si="9"/>
        <v>26</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40"/>
      <c r="F27" s="4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256</v>
      </c>
      <c r="C29" s="29">
        <f t="shared" ref="C29:E30" si="13">(C8-C22)^2/C22</f>
        <v>0.35604395604395622</v>
      </c>
      <c r="D29" s="29">
        <f t="shared" si="13"/>
        <v>0.27472527472527491</v>
      </c>
      <c r="E29" s="29">
        <f t="shared" si="13"/>
        <v>1.4128728414442708E-2</v>
      </c>
      <c r="F29" s="29"/>
      <c r="G29" s="29">
        <f>(G8-G22)^2/G22</f>
        <v>0.48640832851359134</v>
      </c>
      <c r="H29" s="29">
        <f t="shared" ref="H29:H30" si="14">(H8-H22)^2/H22</f>
        <v>1.3202511773940346</v>
      </c>
      <c r="I29" s="29"/>
      <c r="J29" s="29">
        <f>(J8-J22)^2/J22</f>
        <v>0.61813186813186805</v>
      </c>
      <c r="K29" s="29">
        <f t="shared" ref="K29:K30" si="15">(K8-K22)^2/K22</f>
        <v>0.11238761238761229</v>
      </c>
      <c r="L29" s="29"/>
      <c r="M29" s="29">
        <f>(M8-M22)^2/M22</f>
        <v>0.14285714285714285</v>
      </c>
      <c r="N29" s="29">
        <f t="shared" ref="N29:N30" si="16">(N8-N22)^2/N22</f>
        <v>0.14285714285714285</v>
      </c>
      <c r="O29" s="21"/>
    </row>
    <row r="30" spans="2:15" x14ac:dyDescent="0.35">
      <c r="B30" s="6" t="s">
        <v>257</v>
      </c>
      <c r="C30" s="29">
        <f t="shared" si="13"/>
        <v>0.41538461538461569</v>
      </c>
      <c r="D30" s="29">
        <f t="shared" si="13"/>
        <v>0.32051282051282071</v>
      </c>
      <c r="E30" s="29">
        <f t="shared" si="13"/>
        <v>1.6483516483516491E-2</v>
      </c>
      <c r="F30" s="29"/>
      <c r="G30" s="29">
        <f>(G9-G23)^2/G23</f>
        <v>0.56747638326585648</v>
      </c>
      <c r="H30" s="29">
        <f t="shared" si="14"/>
        <v>1.5402930402930401</v>
      </c>
      <c r="I30" s="29"/>
      <c r="J30" s="29">
        <f>(J9-J23)^2/J23</f>
        <v>0.72115384615384592</v>
      </c>
      <c r="K30" s="29">
        <f t="shared" si="15"/>
        <v>0.13111888111888101</v>
      </c>
      <c r="L30" s="29"/>
      <c r="M30" s="29">
        <f>(M9-M23)^2/M23</f>
        <v>0.16666666666666666</v>
      </c>
      <c r="N30" s="29">
        <f t="shared" si="16"/>
        <v>0.16666666666666666</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1.3972789115646267</v>
      </c>
      <c r="E33" s="13"/>
      <c r="F33" s="13"/>
      <c r="G33" s="13">
        <f>G29+G30+H29+H30</f>
        <v>3.9144289294665224</v>
      </c>
      <c r="H33" s="13"/>
      <c r="I33" s="13"/>
      <c r="J33" s="13">
        <f>J29+K29+J30+K30</f>
        <v>1.5827922077922072</v>
      </c>
      <c r="K33" s="13"/>
      <c r="L33" s="13"/>
      <c r="M33" s="13">
        <f>M29+N29+M30+N30</f>
        <v>0.61904761904761896</v>
      </c>
    </row>
    <row r="34" spans="2:13" x14ac:dyDescent="0.35">
      <c r="B34" s="3" t="s">
        <v>184</v>
      </c>
      <c r="D34" s="24">
        <f>_xlfn.CHISQ.DIST.RT(D33,D32)</f>
        <v>0.49726138987328494</v>
      </c>
      <c r="E34" s="32"/>
      <c r="G34" s="24">
        <f>_xlfn.CHISQ.DIST.RT(G33,G32)</f>
        <v>4.7873277610254068E-2</v>
      </c>
      <c r="J34" s="24">
        <f>_xlfn.CHISQ.DIST.RT(J33,J32)</f>
        <v>0.20835895653447728</v>
      </c>
      <c r="M34" s="24">
        <f>_xlfn.CHISQ.DIST.RT(M33,M32)</f>
        <v>0.43140141694717782</v>
      </c>
    </row>
  </sheetData>
  <mergeCells count="16">
    <mergeCell ref="C6:D6"/>
    <mergeCell ref="G6:I6"/>
    <mergeCell ref="J6:L6"/>
    <mergeCell ref="M6:O6"/>
    <mergeCell ref="C13:D13"/>
    <mergeCell ref="G13:I13"/>
    <mergeCell ref="J13:L13"/>
    <mergeCell ref="M13:O13"/>
    <mergeCell ref="C20:D20"/>
    <mergeCell ref="G20:I20"/>
    <mergeCell ref="J20:L20"/>
    <mergeCell ref="M20:O20"/>
    <mergeCell ref="C27:D27"/>
    <mergeCell ref="G27:I27"/>
    <mergeCell ref="J27:L27"/>
    <mergeCell ref="M27:O27"/>
  </mergeCells>
  <pageMargins left="0.7" right="0.7" top="0.75" bottom="0.75" header="0.3" footer="0.3"/>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A16" workbookViewId="0">
      <selection activeCell="M33" sqref="M33"/>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7.1796875" bestFit="1"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40"/>
      <c r="F6" s="4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266</v>
      </c>
      <c r="C8" s="18">
        <f>COUNTIFS(cyclone_treatment!V2:V27,0,cyclone_treatment!AJ2:AJ27,1)</f>
        <v>3</v>
      </c>
      <c r="D8" s="18">
        <f>COUNTIFS(cyclone_treatment!V2:V27,"&lt;0",cyclone_treatment!AJ2:AJ27,1)</f>
        <v>5</v>
      </c>
      <c r="E8" s="18">
        <f>COUNTIFS(cyclone_treatment!V2:V27,"&gt;0",cyclone_treatment!AJ2:AJ27,1)</f>
        <v>4</v>
      </c>
      <c r="F8" s="18">
        <f>SUM(C8:E8)</f>
        <v>12</v>
      </c>
      <c r="G8" s="18">
        <f>COUNTIFS(cyclone_treatment!Y2:Y27,0,cyclone_treatment!AJ2:AJ27,1)</f>
        <v>8</v>
      </c>
      <c r="H8" s="18">
        <f>COUNTIFS(cyclone_treatment!Y2:Y27,"&gt;0",cyclone_treatment!AJ2:AJ27,1)</f>
        <v>4</v>
      </c>
      <c r="I8" s="18">
        <f>SUM(G8:H8)</f>
        <v>12</v>
      </c>
      <c r="J8" s="18">
        <f>COUNTIFS(cyclone_treatment!P2:P27,"&gt;=0",cyclone_treatment!AJ2:AJ27,1)</f>
        <v>1</v>
      </c>
      <c r="K8" s="18">
        <f>COUNTIFS(cyclone_treatment!P2:P27,"&lt;0",cyclone_treatment!AJ2:AJ27,1)</f>
        <v>11</v>
      </c>
      <c r="L8" s="18">
        <f>SUM(J8:K8)</f>
        <v>12</v>
      </c>
      <c r="M8" s="18">
        <f>COUNTIFS(cyclone_treatment!M2:M27,0,cyclone_treatment!AJ2:AJ27,1)</f>
        <v>6</v>
      </c>
      <c r="N8" s="18">
        <f>COUNTIFS(cyclone_treatment!M2:M27,"&lt;0",cyclone_treatment!AJ2:AJ27,1)</f>
        <v>6</v>
      </c>
      <c r="O8" s="18">
        <f>SUM(M8:N8)</f>
        <v>12</v>
      </c>
    </row>
    <row r="9" spans="2:15" x14ac:dyDescent="0.35">
      <c r="B9" s="6" t="s">
        <v>267</v>
      </c>
      <c r="C9" s="18">
        <f>COUNTIFS(cyclone_treatment!V2:V27,0,cyclone_treatment!AJ2:AJ27,0)</f>
        <v>7</v>
      </c>
      <c r="D9" s="18">
        <f>COUNTIFS(cyclone_treatment!V2:V27,"&lt;0",cyclone_treatment!AJ2:AJ27,0)</f>
        <v>4</v>
      </c>
      <c r="E9" s="18">
        <f>COUNTIFS(cyclone_treatment!V2:V27,"&gt;0",cyclone_treatment!AG2:AG27,0)</f>
        <v>1</v>
      </c>
      <c r="F9" s="18">
        <f t="shared" ref="F9" si="0">SUM(C9:E9)</f>
        <v>12</v>
      </c>
      <c r="G9" s="18">
        <f>COUNTIFS(cyclone_treatment!Y2:Y27,0,cyclone_treatment!AJ2:AJ27,0)</f>
        <v>11</v>
      </c>
      <c r="H9" s="18">
        <f>COUNTIFS(cyclone_treatment!Y2:Y27,"&gt;0",cyclone_treatment!AJ2:AJ27,0)</f>
        <v>3</v>
      </c>
      <c r="I9" s="18">
        <f>SUM(G9:H9)</f>
        <v>14</v>
      </c>
      <c r="J9" s="18">
        <f>COUNTIFS(cyclone_treatment!P2:P27,"&gt;=0",cyclone_treatment!AJ2:AJ27,0)</f>
        <v>3</v>
      </c>
      <c r="K9" s="18">
        <f>COUNTIFS(cyclone_treatment!P2:P27,"&lt;0",cyclone_treatment!AJ2:AJ27,0)</f>
        <v>11</v>
      </c>
      <c r="L9" s="18">
        <f>SUM(J9:K9)</f>
        <v>14</v>
      </c>
      <c r="M9" s="18">
        <f>COUNTIFS(cyclone_treatment!M2:M27,0,cyclone_treatment!AJ2:AJ27,0)</f>
        <v>7</v>
      </c>
      <c r="N9" s="18">
        <f>COUNTIFS(cyclone_treatment!M2:M27,"&lt;0",cyclone_treatment!AJ2:AJ27,0)</f>
        <v>7</v>
      </c>
      <c r="O9" s="18">
        <f>SUM(M9:N9)</f>
        <v>14</v>
      </c>
    </row>
    <row r="10" spans="2:15" x14ac:dyDescent="0.35">
      <c r="B10" s="3" t="s">
        <v>180</v>
      </c>
      <c r="C10" s="18">
        <f>SUM(C8:C9)</f>
        <v>10</v>
      </c>
      <c r="D10" s="18">
        <f t="shared" ref="D10:F10" si="1">SUM(D8:D9)</f>
        <v>9</v>
      </c>
      <c r="E10" s="18">
        <f t="shared" si="1"/>
        <v>5</v>
      </c>
      <c r="F10" s="18">
        <f t="shared" si="1"/>
        <v>24</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40"/>
      <c r="F13" s="4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266</v>
      </c>
      <c r="C15" s="23">
        <f t="shared" ref="C15:F17" si="5">C8/$F8</f>
        <v>0.25</v>
      </c>
      <c r="D15" s="23">
        <f t="shared" si="5"/>
        <v>0.41666666666666669</v>
      </c>
      <c r="E15" s="23">
        <f t="shared" si="5"/>
        <v>0.33333333333333331</v>
      </c>
      <c r="F15" s="23">
        <f t="shared" si="5"/>
        <v>1</v>
      </c>
      <c r="G15" s="23">
        <f t="shared" ref="G15:I17" si="6">G8/$I8</f>
        <v>0.66666666666666663</v>
      </c>
      <c r="H15" s="23">
        <f t="shared" si="6"/>
        <v>0.33333333333333331</v>
      </c>
      <c r="I15" s="23">
        <f t="shared" si="6"/>
        <v>1</v>
      </c>
      <c r="J15" s="23">
        <f t="shared" ref="J15:L17" si="7">J8/$L8</f>
        <v>8.3333333333333329E-2</v>
      </c>
      <c r="K15" s="23">
        <f t="shared" si="7"/>
        <v>0.91666666666666663</v>
      </c>
      <c r="L15" s="23">
        <f t="shared" si="7"/>
        <v>1</v>
      </c>
      <c r="M15" s="23">
        <f t="shared" ref="M15:O17" si="8">M8/$O8</f>
        <v>0.5</v>
      </c>
      <c r="N15" s="23">
        <f t="shared" si="8"/>
        <v>0.5</v>
      </c>
      <c r="O15" s="23">
        <f t="shared" si="8"/>
        <v>1</v>
      </c>
    </row>
    <row r="16" spans="2:15" x14ac:dyDescent="0.35">
      <c r="B16" s="6" t="s">
        <v>267</v>
      </c>
      <c r="C16" s="23">
        <f t="shared" si="5"/>
        <v>0.58333333333333337</v>
      </c>
      <c r="D16" s="23">
        <f t="shared" si="5"/>
        <v>0.33333333333333331</v>
      </c>
      <c r="E16" s="23">
        <f t="shared" si="5"/>
        <v>8.3333333333333329E-2</v>
      </c>
      <c r="F16" s="23">
        <f t="shared" si="5"/>
        <v>1</v>
      </c>
      <c r="G16" s="23">
        <f t="shared" si="6"/>
        <v>0.7857142857142857</v>
      </c>
      <c r="H16" s="23">
        <f t="shared" si="6"/>
        <v>0.21428571428571427</v>
      </c>
      <c r="I16" s="23">
        <f t="shared" si="6"/>
        <v>1</v>
      </c>
      <c r="J16" s="23">
        <f t="shared" si="7"/>
        <v>0.21428571428571427</v>
      </c>
      <c r="K16" s="23">
        <f t="shared" si="7"/>
        <v>0.7857142857142857</v>
      </c>
      <c r="L16" s="23">
        <f t="shared" si="7"/>
        <v>1</v>
      </c>
      <c r="M16" s="23">
        <f t="shared" si="8"/>
        <v>0.5</v>
      </c>
      <c r="N16" s="23">
        <f t="shared" si="8"/>
        <v>0.5</v>
      </c>
      <c r="O16" s="23">
        <f t="shared" si="8"/>
        <v>1</v>
      </c>
    </row>
    <row r="17" spans="2:15" x14ac:dyDescent="0.35">
      <c r="B17" s="3" t="s">
        <v>180</v>
      </c>
      <c r="C17" s="23">
        <f t="shared" si="5"/>
        <v>0.41666666666666669</v>
      </c>
      <c r="D17" s="23">
        <f t="shared" si="5"/>
        <v>0.375</v>
      </c>
      <c r="E17" s="23">
        <f t="shared" si="5"/>
        <v>0.20833333333333334</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40"/>
      <c r="F20" s="4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266</v>
      </c>
      <c r="C22" s="19">
        <f t="shared" ref="C22:F24" si="9">($F8*C$10)/$F$10</f>
        <v>5</v>
      </c>
      <c r="D22" s="19">
        <f t="shared" si="9"/>
        <v>4.5</v>
      </c>
      <c r="E22" s="19">
        <f t="shared" si="9"/>
        <v>2.5</v>
      </c>
      <c r="F22" s="19">
        <f t="shared" si="9"/>
        <v>12</v>
      </c>
      <c r="G22" s="19">
        <f t="shared" ref="G22:I24" si="10">($I8*G$10)/$I$10</f>
        <v>8.7692307692307701</v>
      </c>
      <c r="H22" s="19">
        <f t="shared" si="10"/>
        <v>3.2307692307692308</v>
      </c>
      <c r="I22" s="19">
        <f t="shared" si="10"/>
        <v>12</v>
      </c>
      <c r="J22" s="19">
        <f t="shared" ref="J22:L24" si="11">($L8*J$10)/$L$10</f>
        <v>1.8461538461538463</v>
      </c>
      <c r="K22" s="19">
        <f t="shared" si="11"/>
        <v>10.153846153846153</v>
      </c>
      <c r="L22" s="19">
        <f t="shared" si="11"/>
        <v>12</v>
      </c>
      <c r="M22" s="19">
        <f t="shared" ref="M22:O24" si="12">($O8*M$10)/$O$10</f>
        <v>6</v>
      </c>
      <c r="N22" s="19">
        <f t="shared" si="12"/>
        <v>6</v>
      </c>
      <c r="O22" s="19">
        <f t="shared" si="12"/>
        <v>12</v>
      </c>
    </row>
    <row r="23" spans="2:15" x14ac:dyDescent="0.35">
      <c r="B23" s="6" t="s">
        <v>267</v>
      </c>
      <c r="C23" s="19">
        <f t="shared" si="9"/>
        <v>5</v>
      </c>
      <c r="D23" s="19">
        <f t="shared" si="9"/>
        <v>4.5</v>
      </c>
      <c r="E23" s="19">
        <f t="shared" si="9"/>
        <v>2.5</v>
      </c>
      <c r="F23" s="19">
        <f t="shared" si="9"/>
        <v>12</v>
      </c>
      <c r="G23" s="19">
        <f t="shared" si="10"/>
        <v>10.23076923076923</v>
      </c>
      <c r="H23" s="19">
        <f t="shared" si="10"/>
        <v>3.7692307692307692</v>
      </c>
      <c r="I23" s="19">
        <f t="shared" si="10"/>
        <v>14</v>
      </c>
      <c r="J23" s="19">
        <f t="shared" si="11"/>
        <v>2.1538461538461537</v>
      </c>
      <c r="K23" s="19">
        <f t="shared" si="11"/>
        <v>11.846153846153847</v>
      </c>
      <c r="L23" s="19">
        <f t="shared" si="11"/>
        <v>14</v>
      </c>
      <c r="M23" s="19">
        <f t="shared" si="12"/>
        <v>7</v>
      </c>
      <c r="N23" s="19">
        <f t="shared" si="12"/>
        <v>7</v>
      </c>
      <c r="O23" s="19">
        <f t="shared" si="12"/>
        <v>14</v>
      </c>
    </row>
    <row r="24" spans="2:15" x14ac:dyDescent="0.35">
      <c r="B24" s="3" t="s">
        <v>180</v>
      </c>
      <c r="C24" s="19">
        <f t="shared" si="9"/>
        <v>10</v>
      </c>
      <c r="D24" s="19">
        <f t="shared" si="9"/>
        <v>9</v>
      </c>
      <c r="E24" s="19">
        <f t="shared" si="9"/>
        <v>5</v>
      </c>
      <c r="F24" s="19">
        <f t="shared" si="9"/>
        <v>24</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40"/>
      <c r="F27" s="4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266</v>
      </c>
      <c r="C29" s="29">
        <f t="shared" ref="C29:E30" si="13">(C8-C22)^2/C22</f>
        <v>0.8</v>
      </c>
      <c r="D29" s="29">
        <f t="shared" si="13"/>
        <v>5.5555555555555552E-2</v>
      </c>
      <c r="E29" s="29">
        <f t="shared" si="13"/>
        <v>0.9</v>
      </c>
      <c r="F29" s="29"/>
      <c r="G29" s="29">
        <f>(G8-G22)^2/G22</f>
        <v>6.7476383265857087E-2</v>
      </c>
      <c r="H29" s="29">
        <f t="shared" ref="H29:H30" si="14">(H8-H22)^2/H22</f>
        <v>0.18315018315018311</v>
      </c>
      <c r="I29" s="29"/>
      <c r="J29" s="29">
        <f>(J8-J22)^2/J22</f>
        <v>0.38782051282051294</v>
      </c>
      <c r="K29" s="29">
        <f t="shared" ref="K29:K30" si="15">(K8-K22)^2/K22</f>
        <v>7.0512820512820609E-2</v>
      </c>
      <c r="L29" s="29"/>
      <c r="M29" s="29">
        <f>(M8-M22)^2/M22</f>
        <v>0</v>
      </c>
      <c r="N29" s="29">
        <f t="shared" ref="N29:N30" si="16">(N8-N22)^2/N22</f>
        <v>0</v>
      </c>
      <c r="O29" s="21"/>
    </row>
    <row r="30" spans="2:15" x14ac:dyDescent="0.35">
      <c r="B30" s="6" t="s">
        <v>267</v>
      </c>
      <c r="C30" s="29">
        <f t="shared" si="13"/>
        <v>0.8</v>
      </c>
      <c r="D30" s="29">
        <f t="shared" si="13"/>
        <v>5.5555555555555552E-2</v>
      </c>
      <c r="E30" s="29">
        <f t="shared" si="13"/>
        <v>0.9</v>
      </c>
      <c r="F30" s="29"/>
      <c r="G30" s="29">
        <f>(G9-G23)^2/G23</f>
        <v>5.7836899942163227E-2</v>
      </c>
      <c r="H30" s="29">
        <f t="shared" si="14"/>
        <v>0.15698587127158553</v>
      </c>
      <c r="I30" s="29"/>
      <c r="J30" s="29">
        <f>(J9-J23)^2/J23</f>
        <v>0.33241758241758251</v>
      </c>
      <c r="K30" s="29">
        <f t="shared" si="15"/>
        <v>6.0439560439560509E-2</v>
      </c>
      <c r="L30" s="29"/>
      <c r="M30" s="29">
        <f>(M9-M23)^2/M23</f>
        <v>0</v>
      </c>
      <c r="N30" s="29">
        <f t="shared" si="16"/>
        <v>0</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3.5111111111111111</v>
      </c>
      <c r="E33" s="13"/>
      <c r="F33" s="13"/>
      <c r="G33" s="13">
        <f>G29+G30+H29+H30</f>
        <v>0.46544933762978896</v>
      </c>
      <c r="H33" s="13"/>
      <c r="I33" s="13"/>
      <c r="J33" s="13">
        <f>J29+K29+J30+K30</f>
        <v>0.85119047619047661</v>
      </c>
      <c r="K33" s="13"/>
      <c r="L33" s="13"/>
      <c r="M33" s="13">
        <f>M29+N29+M30+N30</f>
        <v>0</v>
      </c>
    </row>
    <row r="34" spans="2:13" x14ac:dyDescent="0.35">
      <c r="B34" s="3" t="s">
        <v>184</v>
      </c>
      <c r="D34" s="24">
        <f>_xlfn.CHISQ.DIST.RT(D33,D32)</f>
        <v>0.17281120939094119</v>
      </c>
      <c r="E34" s="32"/>
      <c r="G34" s="24">
        <f>_xlfn.CHISQ.DIST.RT(G33,G32)</f>
        <v>0.49508816926050103</v>
      </c>
      <c r="J34" s="24">
        <f>_xlfn.CHISQ.DIST.RT(J33,J32)</f>
        <v>0.3562157758715761</v>
      </c>
      <c r="M34" s="24">
        <f>_xlfn.CHISQ.DIST.RT(M33,M32)</f>
        <v>1</v>
      </c>
    </row>
  </sheetData>
  <mergeCells count="16">
    <mergeCell ref="C6:D6"/>
    <mergeCell ref="G6:I6"/>
    <mergeCell ref="J6:L6"/>
    <mergeCell ref="M6:O6"/>
    <mergeCell ref="C13:D13"/>
    <mergeCell ref="G13:I13"/>
    <mergeCell ref="J13:L13"/>
    <mergeCell ref="M13:O13"/>
    <mergeCell ref="C20:D20"/>
    <mergeCell ref="G20:I20"/>
    <mergeCell ref="J20:L20"/>
    <mergeCell ref="M20:O20"/>
    <mergeCell ref="C27:D27"/>
    <mergeCell ref="G27:I27"/>
    <mergeCell ref="J27:L27"/>
    <mergeCell ref="M27:O27"/>
  </mergeCells>
  <pageMargins left="0.7" right="0.7" top="0.75" bottom="0.75" header="0.3" footer="0.3"/>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A16" workbookViewId="0">
      <selection activeCell="D28" sqref="D28"/>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7.1796875" bestFit="1"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40"/>
      <c r="F6" s="4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260</v>
      </c>
      <c r="C8" s="18">
        <f>COUNTIFS(cyclone_treatment!V2:V27,0,cyclone_treatment!AH2:AH27,1)</f>
        <v>3</v>
      </c>
      <c r="D8" s="18">
        <f>COUNTIFS(cyclone_treatment!V2:V27,"&lt;0",cyclone_treatment!AH2:AH27,1)</f>
        <v>4</v>
      </c>
      <c r="E8" s="18">
        <f>COUNTIFS(cyclone_treatment!V2:V27,"&gt;0",cyclone_treatment!AH2:AH27,1)</f>
        <v>4</v>
      </c>
      <c r="F8" s="18">
        <f>SUM(C8:E8)</f>
        <v>11</v>
      </c>
      <c r="G8" s="18">
        <f>COUNTIFS(cyclone_treatment!Y2:Y27,0,cyclone_treatment!AH2:AH27,1)</f>
        <v>5</v>
      </c>
      <c r="H8" s="18">
        <f>COUNTIFS(cyclone_treatment!Y2:Y27,"&gt;0",cyclone_treatment!AH2:AH27,1)</f>
        <v>6</v>
      </c>
      <c r="I8" s="18">
        <f>SUM(G8:H8)</f>
        <v>11</v>
      </c>
      <c r="J8" s="18">
        <f>COUNTIFS(cyclone_treatment!P2:P27,"&gt;=0",cyclone_treatment!AH2:AH27,1)</f>
        <v>1</v>
      </c>
      <c r="K8" s="18">
        <f>COUNTIFS(cyclone_treatment!P2:P27,"&lt;0",cyclone_treatment!AH2:AH27,1)</f>
        <v>10</v>
      </c>
      <c r="L8" s="18">
        <f>SUM(J8:K8)</f>
        <v>11</v>
      </c>
      <c r="M8" s="18">
        <f>COUNTIFS(cyclone_treatment!M2:M27,0,cyclone_treatment!AH2:AH27,1)</f>
        <v>3</v>
      </c>
      <c r="N8" s="18">
        <f>COUNTIFS(cyclone_treatment!M2:M27,"&lt;0",cyclone_treatment!AH2:AH27,1)</f>
        <v>8</v>
      </c>
      <c r="O8" s="18">
        <f>SUM(M8:N8)</f>
        <v>11</v>
      </c>
    </row>
    <row r="9" spans="2:15" x14ac:dyDescent="0.35">
      <c r="B9" s="6" t="s">
        <v>261</v>
      </c>
      <c r="C9" s="18">
        <f>COUNTIFS(cyclone_treatment!V2:V27,0,cyclone_treatment!AH2:AH27,0)</f>
        <v>7</v>
      </c>
      <c r="D9" s="18">
        <f>COUNTIFS(cyclone_treatment!V2:V27,"&lt;0",cyclone_treatment!AH2:AH27,0)</f>
        <v>5</v>
      </c>
      <c r="E9" s="18">
        <f>COUNTIFS(cyclone_treatment!V2:V27,"&gt;0",cyclone_treatment!AH2:AH27,0)</f>
        <v>3</v>
      </c>
      <c r="F9" s="18">
        <f t="shared" ref="F9" si="0">SUM(C9:E9)</f>
        <v>15</v>
      </c>
      <c r="G9" s="18">
        <f>COUNTIFS(cyclone_treatment!Y2:Y27,0,cyclone_treatment!AH2:AH27,0)</f>
        <v>14</v>
      </c>
      <c r="H9" s="18">
        <f>COUNTIFS(cyclone_treatment!Y2:Y27,"&gt;0",cyclone_treatment!AH2:AH27,0)</f>
        <v>1</v>
      </c>
      <c r="I9" s="18">
        <f>SUM(G9:H9)</f>
        <v>15</v>
      </c>
      <c r="J9" s="18">
        <f>COUNTIFS(cyclone_treatment!P2:P27,"&gt;=0",cyclone_treatment!AH2:AH27,0)</f>
        <v>3</v>
      </c>
      <c r="K9" s="18">
        <f>COUNTIFS(cyclone_treatment!P2:P27,"&lt;0",cyclone_treatment!AH2:AH27,0)</f>
        <v>12</v>
      </c>
      <c r="L9" s="18">
        <f>SUM(J9:K9)</f>
        <v>15</v>
      </c>
      <c r="M9" s="18">
        <f>COUNTIFS(cyclone_treatment!M2:M27,0,cyclone_treatment!AH2:AH27,0)</f>
        <v>10</v>
      </c>
      <c r="N9" s="18">
        <f>COUNTIFS(cyclone_treatment!M2:M27,"&lt;0",cyclone_treatment!AH2:AH27,0)</f>
        <v>5</v>
      </c>
      <c r="O9" s="18">
        <f>SUM(M9:N9)</f>
        <v>15</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40"/>
      <c r="F13" s="4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273</v>
      </c>
      <c r="K14" s="17" t="s">
        <v>274</v>
      </c>
      <c r="L14" s="20" t="s">
        <v>180</v>
      </c>
      <c r="M14" s="17" t="s">
        <v>273</v>
      </c>
      <c r="N14" s="17" t="s">
        <v>274</v>
      </c>
      <c r="O14" s="20" t="s">
        <v>180</v>
      </c>
    </row>
    <row r="15" spans="2:15" x14ac:dyDescent="0.35">
      <c r="B15" s="6" t="s">
        <v>260</v>
      </c>
      <c r="C15" s="23">
        <f t="shared" ref="C15:F17" si="5">C8/$F8</f>
        <v>0.27272727272727271</v>
      </c>
      <c r="D15" s="23">
        <f t="shared" si="5"/>
        <v>0.36363636363636365</v>
      </c>
      <c r="E15" s="23">
        <f t="shared" si="5"/>
        <v>0.36363636363636365</v>
      </c>
      <c r="F15" s="23">
        <f t="shared" si="5"/>
        <v>1</v>
      </c>
      <c r="G15" s="23">
        <f t="shared" ref="G15:I17" si="6">G8/$I8</f>
        <v>0.45454545454545453</v>
      </c>
      <c r="H15" s="23">
        <f t="shared" si="6"/>
        <v>0.54545454545454541</v>
      </c>
      <c r="I15" s="23">
        <f t="shared" si="6"/>
        <v>1</v>
      </c>
      <c r="J15" s="23">
        <f t="shared" ref="J15:L17" si="7">J8/$L8</f>
        <v>9.0909090909090912E-2</v>
      </c>
      <c r="K15" s="23">
        <f t="shared" si="7"/>
        <v>0.90909090909090906</v>
      </c>
      <c r="L15" s="23">
        <f t="shared" si="7"/>
        <v>1</v>
      </c>
      <c r="M15" s="23">
        <f t="shared" ref="M15:O17" si="8">M8/$O8</f>
        <v>0.27272727272727271</v>
      </c>
      <c r="N15" s="23">
        <f t="shared" si="8"/>
        <v>0.72727272727272729</v>
      </c>
      <c r="O15" s="23">
        <f t="shared" si="8"/>
        <v>1</v>
      </c>
    </row>
    <row r="16" spans="2:15" x14ac:dyDescent="0.35">
      <c r="B16" s="6" t="s">
        <v>261</v>
      </c>
      <c r="C16" s="23">
        <f t="shared" si="5"/>
        <v>0.46666666666666667</v>
      </c>
      <c r="D16" s="23">
        <f t="shared" si="5"/>
        <v>0.33333333333333331</v>
      </c>
      <c r="E16" s="23">
        <f t="shared" si="5"/>
        <v>0.2</v>
      </c>
      <c r="F16" s="23">
        <f t="shared" si="5"/>
        <v>1</v>
      </c>
      <c r="G16" s="23">
        <f t="shared" si="6"/>
        <v>0.93333333333333335</v>
      </c>
      <c r="H16" s="23">
        <f t="shared" si="6"/>
        <v>6.6666666666666666E-2</v>
      </c>
      <c r="I16" s="23">
        <f t="shared" si="6"/>
        <v>1</v>
      </c>
      <c r="J16" s="23">
        <f t="shared" si="7"/>
        <v>0.2</v>
      </c>
      <c r="K16" s="23">
        <f t="shared" si="7"/>
        <v>0.8</v>
      </c>
      <c r="L16" s="23">
        <f t="shared" si="7"/>
        <v>1</v>
      </c>
      <c r="M16" s="23">
        <f t="shared" si="8"/>
        <v>0.66666666666666663</v>
      </c>
      <c r="N16" s="23">
        <f t="shared" si="8"/>
        <v>0.33333333333333331</v>
      </c>
      <c r="O16" s="23">
        <f t="shared" si="8"/>
        <v>1</v>
      </c>
    </row>
    <row r="17" spans="2:15" x14ac:dyDescent="0.35">
      <c r="B17" s="3" t="s">
        <v>180</v>
      </c>
      <c r="C17" s="23">
        <f t="shared" si="5"/>
        <v>0.38461538461538464</v>
      </c>
      <c r="D17" s="23">
        <f t="shared" si="5"/>
        <v>0.34615384615384615</v>
      </c>
      <c r="E17" s="23">
        <f t="shared" si="5"/>
        <v>0.26923076923076922</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40"/>
      <c r="F20" s="4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273</v>
      </c>
      <c r="K21" s="17" t="s">
        <v>274</v>
      </c>
      <c r="L21" s="20" t="s">
        <v>180</v>
      </c>
      <c r="M21" s="17" t="s">
        <v>273</v>
      </c>
      <c r="N21" s="17" t="s">
        <v>274</v>
      </c>
      <c r="O21" s="20" t="s">
        <v>180</v>
      </c>
    </row>
    <row r="22" spans="2:15" x14ac:dyDescent="0.35">
      <c r="B22" s="6" t="s">
        <v>260</v>
      </c>
      <c r="C22" s="19">
        <f t="shared" ref="C22:F24" si="9">($F8*C$10)/$F$10</f>
        <v>4.2307692307692308</v>
      </c>
      <c r="D22" s="19">
        <f t="shared" si="9"/>
        <v>3.8076923076923075</v>
      </c>
      <c r="E22" s="19">
        <f t="shared" si="9"/>
        <v>2.9615384615384617</v>
      </c>
      <c r="F22" s="19">
        <f t="shared" si="9"/>
        <v>11</v>
      </c>
      <c r="G22" s="19">
        <f t="shared" ref="G22:I24" si="10">($I8*G$10)/$I$10</f>
        <v>8.0384615384615383</v>
      </c>
      <c r="H22" s="19">
        <f t="shared" si="10"/>
        <v>2.9615384615384617</v>
      </c>
      <c r="I22" s="19">
        <f t="shared" si="10"/>
        <v>11</v>
      </c>
      <c r="J22" s="19">
        <f t="shared" ref="J22:L24" si="11">($L8*J$10)/$L$10</f>
        <v>1.6923076923076923</v>
      </c>
      <c r="K22" s="19">
        <f t="shared" si="11"/>
        <v>9.3076923076923084</v>
      </c>
      <c r="L22" s="19">
        <f t="shared" si="11"/>
        <v>11</v>
      </c>
      <c r="M22" s="19">
        <f t="shared" ref="M22:O24" si="12">($O8*M$10)/$O$10</f>
        <v>5.5</v>
      </c>
      <c r="N22" s="19">
        <f t="shared" si="12"/>
        <v>5.5</v>
      </c>
      <c r="O22" s="19">
        <f t="shared" si="12"/>
        <v>11</v>
      </c>
    </row>
    <row r="23" spans="2:15" x14ac:dyDescent="0.35">
      <c r="B23" s="6" t="s">
        <v>261</v>
      </c>
      <c r="C23" s="19">
        <f t="shared" si="9"/>
        <v>5.7692307692307692</v>
      </c>
      <c r="D23" s="19">
        <f t="shared" si="9"/>
        <v>5.1923076923076925</v>
      </c>
      <c r="E23" s="19">
        <f t="shared" si="9"/>
        <v>4.0384615384615383</v>
      </c>
      <c r="F23" s="19">
        <f t="shared" si="9"/>
        <v>15</v>
      </c>
      <c r="G23" s="19">
        <f t="shared" si="10"/>
        <v>10.961538461538462</v>
      </c>
      <c r="H23" s="19">
        <f t="shared" si="10"/>
        <v>4.0384615384615383</v>
      </c>
      <c r="I23" s="19">
        <f t="shared" si="10"/>
        <v>15</v>
      </c>
      <c r="J23" s="19">
        <f t="shared" si="11"/>
        <v>2.3076923076923075</v>
      </c>
      <c r="K23" s="19">
        <f t="shared" si="11"/>
        <v>12.692307692307692</v>
      </c>
      <c r="L23" s="19">
        <f t="shared" si="11"/>
        <v>15</v>
      </c>
      <c r="M23" s="19">
        <f t="shared" si="12"/>
        <v>7.5</v>
      </c>
      <c r="N23" s="19">
        <f t="shared" si="12"/>
        <v>7.5</v>
      </c>
      <c r="O23" s="19">
        <f t="shared" si="12"/>
        <v>15</v>
      </c>
    </row>
    <row r="24" spans="2:15" x14ac:dyDescent="0.35">
      <c r="B24" s="3" t="s">
        <v>180</v>
      </c>
      <c r="C24" s="19">
        <f t="shared" si="9"/>
        <v>10</v>
      </c>
      <c r="D24" s="19">
        <f t="shared" si="9"/>
        <v>9</v>
      </c>
      <c r="E24" s="19">
        <f t="shared" si="9"/>
        <v>7</v>
      </c>
      <c r="F24" s="19">
        <f t="shared" si="9"/>
        <v>26</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40"/>
      <c r="F27" s="4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273</v>
      </c>
      <c r="K28" s="17" t="s">
        <v>274</v>
      </c>
      <c r="L28" s="20"/>
      <c r="M28" s="17" t="s">
        <v>273</v>
      </c>
      <c r="N28" s="17" t="s">
        <v>274</v>
      </c>
      <c r="O28" s="20"/>
    </row>
    <row r="29" spans="2:15" x14ac:dyDescent="0.35">
      <c r="B29" s="6" t="s">
        <v>260</v>
      </c>
      <c r="C29" s="29">
        <f t="shared" ref="C29:E30" si="13">(C8-C22)^2/C22</f>
        <v>0.3580419580419581</v>
      </c>
      <c r="D29" s="29">
        <f t="shared" si="13"/>
        <v>9.7125097125097329E-3</v>
      </c>
      <c r="E29" s="29">
        <f t="shared" si="13"/>
        <v>0.36413586413586407</v>
      </c>
      <c r="F29" s="29"/>
      <c r="G29" s="29">
        <f>(G8-G22)^2/G22</f>
        <v>1.1485093853514905</v>
      </c>
      <c r="H29" s="29">
        <f t="shared" ref="H29:H30" si="14">(H8-H22)^2/H22</f>
        <v>3.1173826173826171</v>
      </c>
      <c r="I29" s="29"/>
      <c r="J29" s="29">
        <f>(J8-J22)^2/J22</f>
        <v>0.28321678321678317</v>
      </c>
      <c r="K29" s="29">
        <f t="shared" ref="K29:K30" si="15">(K8-K22)^2/K22</f>
        <v>5.1493960584869568E-2</v>
      </c>
      <c r="L29" s="29"/>
      <c r="M29" s="29">
        <f>(M8-M22)^2/M22</f>
        <v>1.1363636363636365</v>
      </c>
      <c r="N29" s="29">
        <f t="shared" ref="N29:N30" si="16">(N8-N22)^2/N22</f>
        <v>1.1363636363636365</v>
      </c>
      <c r="O29" s="21"/>
    </row>
    <row r="30" spans="2:15" x14ac:dyDescent="0.35">
      <c r="B30" s="6" t="s">
        <v>261</v>
      </c>
      <c r="C30" s="29">
        <f t="shared" si="13"/>
        <v>0.26256410256410262</v>
      </c>
      <c r="D30" s="29">
        <f t="shared" si="13"/>
        <v>7.1225071225071374E-3</v>
      </c>
      <c r="E30" s="29">
        <f t="shared" si="13"/>
        <v>0.26703296703296697</v>
      </c>
      <c r="F30" s="29"/>
      <c r="G30" s="29">
        <f>(G9-G23)^2/G23</f>
        <v>0.84224021592442633</v>
      </c>
      <c r="H30" s="29">
        <f t="shared" si="14"/>
        <v>2.286080586080586</v>
      </c>
      <c r="I30" s="29"/>
      <c r="J30" s="29">
        <f>(J9-J23)^2/J23</f>
        <v>0.20769230769230784</v>
      </c>
      <c r="K30" s="29">
        <f t="shared" si="15"/>
        <v>3.7762237762237694E-2</v>
      </c>
      <c r="L30" s="29"/>
      <c r="M30" s="29">
        <f>(M9-M23)^2/M23</f>
        <v>0.83333333333333337</v>
      </c>
      <c r="N30" s="29">
        <f t="shared" si="16"/>
        <v>0.83333333333333337</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1.2686099086099087</v>
      </c>
      <c r="E33" s="13"/>
      <c r="F33" s="13"/>
      <c r="G33" s="13">
        <f>G29+G30+H29+H30</f>
        <v>7.3942128047391202</v>
      </c>
      <c r="H33" s="13"/>
      <c r="I33" s="13"/>
      <c r="J33" s="13">
        <f>J29+K29+J30+K30</f>
        <v>0.58016528925619837</v>
      </c>
      <c r="K33" s="13"/>
      <c r="L33" s="13"/>
      <c r="M33" s="13">
        <f>M29+N29+M30+N30</f>
        <v>3.9393939393939399</v>
      </c>
    </row>
    <row r="34" spans="2:13" x14ac:dyDescent="0.35">
      <c r="B34" s="3" t="s">
        <v>184</v>
      </c>
      <c r="D34" s="24">
        <f>_xlfn.CHISQ.DIST.RT(D33,D32)</f>
        <v>0.53030394572991146</v>
      </c>
      <c r="E34" s="32"/>
      <c r="G34" s="24">
        <f>_xlfn.CHISQ.DIST.RT(G33,G32)</f>
        <v>6.5434054565280536E-3</v>
      </c>
      <c r="J34" s="24">
        <f>_xlfn.CHISQ.DIST.RT(J33,J32)</f>
        <v>0.44624754011642814</v>
      </c>
      <c r="M34" s="24">
        <f>_xlfn.CHISQ.DIST.RT(M33,M32)</f>
        <v>4.7167767768853786E-2</v>
      </c>
    </row>
  </sheetData>
  <mergeCells count="16">
    <mergeCell ref="C6:D6"/>
    <mergeCell ref="G6:I6"/>
    <mergeCell ref="J6:L6"/>
    <mergeCell ref="M6:O6"/>
    <mergeCell ref="C13:D13"/>
    <mergeCell ref="G13:I13"/>
    <mergeCell ref="J13:L13"/>
    <mergeCell ref="M13:O13"/>
    <mergeCell ref="C20:D20"/>
    <mergeCell ref="G20:I20"/>
    <mergeCell ref="J20:L20"/>
    <mergeCell ref="M20:O20"/>
    <mergeCell ref="C27:D27"/>
    <mergeCell ref="G27:I27"/>
    <mergeCell ref="J27:L27"/>
    <mergeCell ref="M27:O27"/>
  </mergeCells>
  <pageMargins left="0.7" right="0.7" top="0.75" bottom="0.75" header="0.3" footer="0.3"/>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B16" workbookViewId="0">
      <selection activeCell="M34" sqref="M34"/>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7.1796875" bestFit="1"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39"/>
      <c r="F6" s="39"/>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252</v>
      </c>
      <c r="C8" s="18">
        <f>COUNTIFS(cyclone_treatment!V2:V27,0,cyclone_treatment!AB2:AB27,1)</f>
        <v>6</v>
      </c>
      <c r="D8" s="18">
        <f>COUNTIFS(cyclone_treatment!V2:V27,"&lt;0",cyclone_treatment!AB2:AB27,1)</f>
        <v>2</v>
      </c>
      <c r="E8" s="18">
        <f>COUNTIFS(cyclone_treatment!V2:V27,"&gt;0",cyclone_treatment!AB2:AB27,1)</f>
        <v>1</v>
      </c>
      <c r="F8" s="18">
        <f>SUM(C8:E8)</f>
        <v>9</v>
      </c>
      <c r="G8" s="18">
        <f>COUNTIFS(cyclone_treatment!Y2:Y27,0,cyclone_treatment!AB2:AB27,1)</f>
        <v>6</v>
      </c>
      <c r="H8" s="18">
        <f>COUNTIFS(cyclone_treatment!Y2:Y27,"&gt;0",cyclone_treatment!AB2:AB27,1)</f>
        <v>3</v>
      </c>
      <c r="I8" s="18">
        <f>SUM(G8:H8)</f>
        <v>9</v>
      </c>
      <c r="J8" s="18">
        <f>COUNTIFS(cyclone_treatment!P2:P27,"&gt;=0",cyclone_treatment!AB2:AB27,1)</f>
        <v>0</v>
      </c>
      <c r="K8" s="18">
        <f>COUNTIFS(cyclone_treatment!P2:P27,"&lt;0",cyclone_treatment!AB2:AB27,1)</f>
        <v>9</v>
      </c>
      <c r="L8" s="18">
        <f>SUM(J8:K8)</f>
        <v>9</v>
      </c>
      <c r="M8" s="18">
        <f>COUNTIFS(cyclone_treatment!M2:M27,0,cyclone_treatment!AB2:AB27,1)</f>
        <v>2</v>
      </c>
      <c r="N8" s="18">
        <f>COUNTIFS(cyclone_treatment!M2:M27,"&lt;0",cyclone_treatment!AB2:AB27,1)</f>
        <v>7</v>
      </c>
      <c r="O8" s="18">
        <f>SUM(M8:N8)</f>
        <v>9</v>
      </c>
    </row>
    <row r="9" spans="2:15" x14ac:dyDescent="0.35">
      <c r="B9" s="6" t="s">
        <v>253</v>
      </c>
      <c r="C9" s="18">
        <f>COUNTIFS(cyclone_treatment!V2:V27,0,cyclone_treatment!AB2:AB27,0)</f>
        <v>4</v>
      </c>
      <c r="D9" s="18">
        <f>COUNTIFS(cyclone_treatment!V2:V27,"&lt;0",cyclone_treatment!AB2:AB27,0)</f>
        <v>7</v>
      </c>
      <c r="E9" s="18">
        <f>COUNTIFS(cyclone_treatment!V2:V27,"&gt;0",cyclone_treatment!AB2:AB27,0)</f>
        <v>6</v>
      </c>
      <c r="F9" s="18">
        <f t="shared" ref="F9" si="0">SUM(C9:E9)</f>
        <v>17</v>
      </c>
      <c r="G9" s="18">
        <f>COUNTIFS(cyclone_treatment!Y2:Y27,0,cyclone_treatment!AB2:AB27,0)</f>
        <v>13</v>
      </c>
      <c r="H9" s="18">
        <f>COUNTIFS(cyclone_treatment!Y2:Y27,"&gt;0",cyclone_treatment!AB2:AB27,0)</f>
        <v>4</v>
      </c>
      <c r="I9" s="18">
        <f>SUM(G9:H9)</f>
        <v>17</v>
      </c>
      <c r="J9" s="18">
        <f>COUNTIFS(cyclone_treatment!P2:P27,"&gt;=0",cyclone_treatment!AB2:AB27,0)</f>
        <v>4</v>
      </c>
      <c r="K9" s="18">
        <f>COUNTIFS(cyclone_treatment!P2:P27,"&lt;0",cyclone_treatment!AB2:AB27,0)</f>
        <v>13</v>
      </c>
      <c r="L9" s="18">
        <f>SUM(J9:K9)</f>
        <v>17</v>
      </c>
      <c r="M9" s="18">
        <f>COUNTIFS(cyclone_treatment!M2:M27,0,cyclone_treatment!AB2:AB27,0)</f>
        <v>11</v>
      </c>
      <c r="N9" s="18">
        <f>COUNTIFS(cyclone_treatment!M2:M27,"&lt;0",cyclone_treatment!AB2:AB27,0)</f>
        <v>6</v>
      </c>
      <c r="O9" s="18">
        <f>SUM(M9:N9)</f>
        <v>17</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39"/>
      <c r="F13" s="39"/>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252</v>
      </c>
      <c r="C15" s="23">
        <f t="shared" ref="C15:F17" si="5">C8/$F8</f>
        <v>0.66666666666666663</v>
      </c>
      <c r="D15" s="23">
        <f t="shared" si="5"/>
        <v>0.22222222222222221</v>
      </c>
      <c r="E15" s="23">
        <f t="shared" si="5"/>
        <v>0.1111111111111111</v>
      </c>
      <c r="F15" s="23">
        <f t="shared" si="5"/>
        <v>1</v>
      </c>
      <c r="G15" s="23">
        <f t="shared" ref="G15:I17" si="6">G8/$I8</f>
        <v>0.66666666666666663</v>
      </c>
      <c r="H15" s="23">
        <f t="shared" si="6"/>
        <v>0.33333333333333331</v>
      </c>
      <c r="I15" s="23">
        <f t="shared" si="6"/>
        <v>1</v>
      </c>
      <c r="J15" s="23">
        <f t="shared" ref="J15:L17" si="7">J8/$L8</f>
        <v>0</v>
      </c>
      <c r="K15" s="23">
        <f t="shared" si="7"/>
        <v>1</v>
      </c>
      <c r="L15" s="23">
        <f t="shared" si="7"/>
        <v>1</v>
      </c>
      <c r="M15" s="23">
        <f t="shared" ref="M15:O17" si="8">M8/$O8</f>
        <v>0.22222222222222221</v>
      </c>
      <c r="N15" s="23">
        <f t="shared" si="8"/>
        <v>0.77777777777777779</v>
      </c>
      <c r="O15" s="23">
        <f t="shared" si="8"/>
        <v>1</v>
      </c>
    </row>
    <row r="16" spans="2:15" x14ac:dyDescent="0.35">
      <c r="B16" s="6" t="s">
        <v>253</v>
      </c>
      <c r="C16" s="23">
        <f t="shared" si="5"/>
        <v>0.23529411764705882</v>
      </c>
      <c r="D16" s="23">
        <f t="shared" si="5"/>
        <v>0.41176470588235292</v>
      </c>
      <c r="E16" s="23">
        <f t="shared" si="5"/>
        <v>0.35294117647058826</v>
      </c>
      <c r="F16" s="23">
        <f t="shared" si="5"/>
        <v>1</v>
      </c>
      <c r="G16" s="23">
        <f t="shared" si="6"/>
        <v>0.76470588235294112</v>
      </c>
      <c r="H16" s="23">
        <f t="shared" si="6"/>
        <v>0.23529411764705882</v>
      </c>
      <c r="I16" s="23">
        <f t="shared" si="6"/>
        <v>1</v>
      </c>
      <c r="J16" s="23">
        <f t="shared" si="7"/>
        <v>0.23529411764705882</v>
      </c>
      <c r="K16" s="23">
        <f t="shared" si="7"/>
        <v>0.76470588235294112</v>
      </c>
      <c r="L16" s="23">
        <f t="shared" si="7"/>
        <v>1</v>
      </c>
      <c r="M16" s="23">
        <f t="shared" si="8"/>
        <v>0.6470588235294118</v>
      </c>
      <c r="N16" s="23">
        <f t="shared" si="8"/>
        <v>0.35294117647058826</v>
      </c>
      <c r="O16" s="23">
        <f t="shared" si="8"/>
        <v>1</v>
      </c>
    </row>
    <row r="17" spans="2:15" x14ac:dyDescent="0.35">
      <c r="B17" s="3" t="s">
        <v>180</v>
      </c>
      <c r="C17" s="23">
        <f t="shared" si="5"/>
        <v>0.38461538461538464</v>
      </c>
      <c r="D17" s="23">
        <f t="shared" si="5"/>
        <v>0.34615384615384615</v>
      </c>
      <c r="E17" s="23">
        <f t="shared" si="5"/>
        <v>0.26923076923076922</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39"/>
      <c r="F20" s="39"/>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252</v>
      </c>
      <c r="C22" s="19">
        <f t="shared" ref="C22:F24" si="9">($F8*C$10)/$F$10</f>
        <v>3.4615384615384617</v>
      </c>
      <c r="D22" s="19">
        <f t="shared" si="9"/>
        <v>3.1153846153846154</v>
      </c>
      <c r="E22" s="19">
        <f t="shared" si="9"/>
        <v>2.4230769230769229</v>
      </c>
      <c r="F22" s="19">
        <f t="shared" si="9"/>
        <v>9</v>
      </c>
      <c r="G22" s="19">
        <f t="shared" ref="G22:I24" si="10">($I8*G$10)/$I$10</f>
        <v>6.5769230769230766</v>
      </c>
      <c r="H22" s="19">
        <f t="shared" si="10"/>
        <v>2.4230769230769229</v>
      </c>
      <c r="I22" s="19">
        <f t="shared" si="10"/>
        <v>9</v>
      </c>
      <c r="J22" s="19">
        <f t="shared" ref="J22:L24" si="11">($L8*J$10)/$L$10</f>
        <v>1.3846153846153846</v>
      </c>
      <c r="K22" s="19">
        <f t="shared" si="11"/>
        <v>7.615384615384615</v>
      </c>
      <c r="L22" s="19">
        <f t="shared" si="11"/>
        <v>9</v>
      </c>
      <c r="M22" s="19">
        <f t="shared" ref="M22:O24" si="12">($O8*M$10)/$O$10</f>
        <v>4.5</v>
      </c>
      <c r="N22" s="19">
        <f t="shared" si="12"/>
        <v>4.5</v>
      </c>
      <c r="O22" s="19">
        <f t="shared" si="12"/>
        <v>9</v>
      </c>
    </row>
    <row r="23" spans="2:15" x14ac:dyDescent="0.35">
      <c r="B23" s="6" t="s">
        <v>253</v>
      </c>
      <c r="C23" s="19">
        <f t="shared" si="9"/>
        <v>6.5384615384615383</v>
      </c>
      <c r="D23" s="19">
        <f t="shared" si="9"/>
        <v>5.884615384615385</v>
      </c>
      <c r="E23" s="19">
        <f t="shared" si="9"/>
        <v>4.5769230769230766</v>
      </c>
      <c r="F23" s="19">
        <f t="shared" si="9"/>
        <v>17</v>
      </c>
      <c r="G23" s="19">
        <f t="shared" si="10"/>
        <v>12.423076923076923</v>
      </c>
      <c r="H23" s="19">
        <f t="shared" si="10"/>
        <v>4.5769230769230766</v>
      </c>
      <c r="I23" s="19">
        <f t="shared" si="10"/>
        <v>17</v>
      </c>
      <c r="J23" s="19">
        <f t="shared" si="11"/>
        <v>2.6153846153846154</v>
      </c>
      <c r="K23" s="19">
        <f t="shared" si="11"/>
        <v>14.384615384615385</v>
      </c>
      <c r="L23" s="19">
        <f t="shared" si="11"/>
        <v>17</v>
      </c>
      <c r="M23" s="19">
        <f t="shared" si="12"/>
        <v>8.5</v>
      </c>
      <c r="N23" s="19">
        <f t="shared" si="12"/>
        <v>8.5</v>
      </c>
      <c r="O23" s="19">
        <f t="shared" si="12"/>
        <v>17</v>
      </c>
    </row>
    <row r="24" spans="2:15" x14ac:dyDescent="0.35">
      <c r="B24" s="3" t="s">
        <v>180</v>
      </c>
      <c r="C24" s="19">
        <f t="shared" si="9"/>
        <v>10</v>
      </c>
      <c r="D24" s="19">
        <f t="shared" si="9"/>
        <v>9</v>
      </c>
      <c r="E24" s="19">
        <f t="shared" si="9"/>
        <v>7</v>
      </c>
      <c r="F24" s="19">
        <f t="shared" si="9"/>
        <v>26</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39"/>
      <c r="F27" s="39"/>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252</v>
      </c>
      <c r="C29" s="29">
        <f t="shared" ref="C29:E30" si="13">(C8-C22)^2/C22</f>
        <v>1.8615384615384614</v>
      </c>
      <c r="D29" s="29">
        <f t="shared" si="13"/>
        <v>0.39933523266856596</v>
      </c>
      <c r="E29" s="29">
        <f t="shared" si="13"/>
        <v>0.83577533577533558</v>
      </c>
      <c r="F29" s="29"/>
      <c r="G29" s="29">
        <f>(G8-G22)^2/G22</f>
        <v>5.060728744939267E-2</v>
      </c>
      <c r="H29" s="29">
        <f t="shared" ref="H29:H30" si="14">(H8-H22)^2/H22</f>
        <v>0.13736263736263746</v>
      </c>
      <c r="I29" s="29"/>
      <c r="J29" s="29">
        <f>(J8-J22)^2/J22</f>
        <v>1.3846153846153846</v>
      </c>
      <c r="K29" s="29">
        <f t="shared" ref="K29:K30" si="15">(K8-K22)^2/K22</f>
        <v>0.25174825174825188</v>
      </c>
      <c r="L29" s="29"/>
      <c r="M29" s="29">
        <f>(M8-M22)^2/M22</f>
        <v>1.3888888888888888</v>
      </c>
      <c r="N29" s="29">
        <f t="shared" ref="N29:N30" si="16">(N8-N22)^2/N22</f>
        <v>1.3888888888888888</v>
      </c>
      <c r="O29" s="21"/>
    </row>
    <row r="30" spans="2:15" x14ac:dyDescent="0.35">
      <c r="B30" s="6" t="s">
        <v>253</v>
      </c>
      <c r="C30" s="29">
        <f t="shared" si="13"/>
        <v>0.98552036199095017</v>
      </c>
      <c r="D30" s="29">
        <f t="shared" si="13"/>
        <v>0.21141277023629948</v>
      </c>
      <c r="E30" s="29">
        <f t="shared" si="13"/>
        <v>0.44246929541047203</v>
      </c>
      <c r="F30" s="29"/>
      <c r="G30" s="29">
        <f>(G9-G23)^2/G23</f>
        <v>2.6792093355560823E-2</v>
      </c>
      <c r="H30" s="29">
        <f t="shared" si="14"/>
        <v>7.2721396250807951E-2</v>
      </c>
      <c r="I30" s="29"/>
      <c r="J30" s="29">
        <f>(J9-J23)^2/J23</f>
        <v>0.73303167420814475</v>
      </c>
      <c r="K30" s="29">
        <f t="shared" si="15"/>
        <v>0.13327848621966276</v>
      </c>
      <c r="L30" s="29"/>
      <c r="M30" s="29">
        <f>(M9-M23)^2/M23</f>
        <v>0.73529411764705888</v>
      </c>
      <c r="N30" s="29">
        <f t="shared" si="16"/>
        <v>0.73529411764705888</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4.7360514576200847</v>
      </c>
      <c r="E33" s="13"/>
      <c r="F33" s="13"/>
      <c r="G33" s="13">
        <f>G29+G30+H29+H30</f>
        <v>0.28748341441839886</v>
      </c>
      <c r="H33" s="13"/>
      <c r="I33" s="13"/>
      <c r="J33" s="13">
        <f>J29+K29+J30+K30</f>
        <v>2.5026737967914441</v>
      </c>
      <c r="K33" s="13"/>
      <c r="L33" s="13"/>
      <c r="M33" s="13">
        <f>M29+N29+M30+N30</f>
        <v>4.2483660130718954</v>
      </c>
    </row>
    <row r="34" spans="2:13" x14ac:dyDescent="0.35">
      <c r="B34" s="3" t="s">
        <v>184</v>
      </c>
      <c r="D34" s="24">
        <f>_xlfn.CHISQ.DIST.RT(D33,D32)</f>
        <v>9.3665464884814698E-2</v>
      </c>
      <c r="E34" s="32"/>
      <c r="G34" s="24">
        <f>_xlfn.CHISQ.DIST.RT(G33,G32)</f>
        <v>0.59183774915488974</v>
      </c>
      <c r="J34" s="24">
        <f>_xlfn.CHISQ.DIST.RT(J33,J32)</f>
        <v>0.11365319277661154</v>
      </c>
      <c r="M34" s="24">
        <f>_xlfn.CHISQ.DIST.RT(M33,M32)</f>
        <v>3.9288114436957775E-2</v>
      </c>
    </row>
  </sheetData>
  <mergeCells count="16">
    <mergeCell ref="C20:D20"/>
    <mergeCell ref="G20:I20"/>
    <mergeCell ref="J20:L20"/>
    <mergeCell ref="M20:O20"/>
    <mergeCell ref="C27:D27"/>
    <mergeCell ref="G27:I27"/>
    <mergeCell ref="J27:L27"/>
    <mergeCell ref="M27:O27"/>
    <mergeCell ref="C6:D6"/>
    <mergeCell ref="G6:I6"/>
    <mergeCell ref="J6:L6"/>
    <mergeCell ref="M6:O6"/>
    <mergeCell ref="C13:D13"/>
    <mergeCell ref="G13:I13"/>
    <mergeCell ref="J13:L13"/>
    <mergeCell ref="M13:O13"/>
  </mergeCells>
  <pageMargins left="0.7" right="0.7" top="0.75" bottom="0.75" header="0.3" footer="0.3"/>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topLeftCell="A19" workbookViewId="0">
      <selection activeCell="M33" sqref="M33"/>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7.1796875" bestFit="1"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40"/>
      <c r="F6" s="4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262</v>
      </c>
      <c r="C8" s="18">
        <f>COUNTIFS(cyclone_treatment!V2:V27,0,cyclone_treatment!AI2:AI27,1)</f>
        <v>3</v>
      </c>
      <c r="D8" s="18">
        <f>COUNTIFS(cyclone_treatment!V2:V27,"&lt;0",cyclone_treatment!AI2:AI27,1)</f>
        <v>2</v>
      </c>
      <c r="E8" s="18">
        <f>COUNTIFS(cyclone_treatment!V2:V27,"&gt;0",cyclone_treatment!AI2:AI27,1)</f>
        <v>2</v>
      </c>
      <c r="F8" s="18">
        <f>SUM(C8:E8)</f>
        <v>7</v>
      </c>
      <c r="G8" s="18">
        <f>COUNTIFS(cyclone_treatment!Y2:Y27,0,cyclone_treatment!AI2:AI27,1)</f>
        <v>3</v>
      </c>
      <c r="H8" s="18">
        <f>COUNTIFS(cyclone_treatment!Y2:Y27,"&gt;0",cyclone_treatment!AI2:AI27,1)</f>
        <v>4</v>
      </c>
      <c r="I8" s="18">
        <f>SUM(G8:H8)</f>
        <v>7</v>
      </c>
      <c r="J8" s="18">
        <f>COUNTIFS(cyclone_treatment!P2:P27,"&gt;=0",cyclone_treatment!AI2:AI27,1)</f>
        <v>1</v>
      </c>
      <c r="K8" s="18">
        <f>COUNTIFS(cyclone_treatment!P2:P27,"&lt;0",cyclone_treatment!AI2:AI27,1)</f>
        <v>6</v>
      </c>
      <c r="L8" s="18">
        <f>SUM(J8:K8)</f>
        <v>7</v>
      </c>
      <c r="M8" s="18">
        <f>COUNTIFS(cyclone_treatment!M2:M27,0,cyclone_treatment!AI2:AI27,1)</f>
        <v>3</v>
      </c>
      <c r="N8" s="18">
        <f>COUNTIFS(cyclone_treatment!M2:M27,"&lt;0",cyclone_treatment!AI2:AI27,1)</f>
        <v>4</v>
      </c>
      <c r="O8" s="18">
        <f>SUM(M8:N8)</f>
        <v>7</v>
      </c>
    </row>
    <row r="9" spans="2:15" x14ac:dyDescent="0.35">
      <c r="B9" s="6" t="s">
        <v>263</v>
      </c>
      <c r="C9" s="18">
        <f>COUNTIFS(cyclone_treatment!V2:V27,0,cyclone_treatment!AI2:AI27,0)</f>
        <v>7</v>
      </c>
      <c r="D9" s="18">
        <f>COUNTIFS(cyclone_treatment!V2:V27,"&lt;0",cyclone_treatment!AI2:AI27,0)</f>
        <v>7</v>
      </c>
      <c r="E9" s="18">
        <f>COUNTIFS(cyclone_treatment!V2:V27,"&gt;0",cyclone_treatment!AI2:AI27,0)</f>
        <v>5</v>
      </c>
      <c r="F9" s="18">
        <f t="shared" ref="F9" si="0">SUM(C9:E9)</f>
        <v>19</v>
      </c>
      <c r="G9" s="18">
        <f>COUNTIFS(cyclone_treatment!Y2:Y27,0,cyclone_treatment!AI2:AI27,0)</f>
        <v>16</v>
      </c>
      <c r="H9" s="18">
        <f>COUNTIFS(cyclone_treatment!Y2:Y27,"&gt;0",cyclone_treatment!AI2:AI27,0)</f>
        <v>3</v>
      </c>
      <c r="I9" s="18">
        <f>SUM(G9:H9)</f>
        <v>19</v>
      </c>
      <c r="J9" s="18">
        <f>COUNTIFS(cyclone_treatment!P2:P27,"&gt;=0",cyclone_treatment!AI2:AI27,0)</f>
        <v>3</v>
      </c>
      <c r="K9" s="18">
        <f>COUNTIFS(cyclone_treatment!P2:P27,"&lt;0",cyclone_treatment!AI2:AI27,0)</f>
        <v>16</v>
      </c>
      <c r="L9" s="18">
        <f>SUM(J9:K9)</f>
        <v>19</v>
      </c>
      <c r="M9" s="18">
        <f>COUNTIFS(cyclone_treatment!M2:M27,0,cyclone_treatment!AI2:AI27,0)</f>
        <v>10</v>
      </c>
      <c r="N9" s="18">
        <f>COUNTIFS(cyclone_treatment!M2:M27,"&lt;0",cyclone_treatment!AI2:AI27,0)</f>
        <v>9</v>
      </c>
      <c r="O9" s="18">
        <f>SUM(M9:N9)</f>
        <v>19</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40"/>
      <c r="F13" s="4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262</v>
      </c>
      <c r="C15" s="23">
        <f t="shared" ref="C15:F17" si="5">C8/$F8</f>
        <v>0.42857142857142855</v>
      </c>
      <c r="D15" s="23">
        <f t="shared" si="5"/>
        <v>0.2857142857142857</v>
      </c>
      <c r="E15" s="23">
        <f t="shared" si="5"/>
        <v>0.2857142857142857</v>
      </c>
      <c r="F15" s="23">
        <f t="shared" si="5"/>
        <v>1</v>
      </c>
      <c r="G15" s="23">
        <f t="shared" ref="G15:I17" si="6">G8/$I8</f>
        <v>0.42857142857142855</v>
      </c>
      <c r="H15" s="23">
        <f t="shared" si="6"/>
        <v>0.5714285714285714</v>
      </c>
      <c r="I15" s="23">
        <f t="shared" si="6"/>
        <v>1</v>
      </c>
      <c r="J15" s="23">
        <f t="shared" ref="J15:L17" si="7">J8/$L8</f>
        <v>0.14285714285714285</v>
      </c>
      <c r="K15" s="23">
        <f t="shared" si="7"/>
        <v>0.8571428571428571</v>
      </c>
      <c r="L15" s="23">
        <f t="shared" si="7"/>
        <v>1</v>
      </c>
      <c r="M15" s="23">
        <f t="shared" ref="M15:O17" si="8">M8/$O8</f>
        <v>0.42857142857142855</v>
      </c>
      <c r="N15" s="23">
        <f t="shared" si="8"/>
        <v>0.5714285714285714</v>
      </c>
      <c r="O15" s="23">
        <f t="shared" si="8"/>
        <v>1</v>
      </c>
    </row>
    <row r="16" spans="2:15" x14ac:dyDescent="0.35">
      <c r="B16" s="6" t="s">
        <v>263</v>
      </c>
      <c r="C16" s="23">
        <f t="shared" si="5"/>
        <v>0.36842105263157893</v>
      </c>
      <c r="D16" s="23">
        <f t="shared" si="5"/>
        <v>0.36842105263157893</v>
      </c>
      <c r="E16" s="23">
        <f t="shared" si="5"/>
        <v>0.26315789473684209</v>
      </c>
      <c r="F16" s="23">
        <f t="shared" si="5"/>
        <v>1</v>
      </c>
      <c r="G16" s="23">
        <f t="shared" si="6"/>
        <v>0.84210526315789469</v>
      </c>
      <c r="H16" s="23">
        <f t="shared" si="6"/>
        <v>0.15789473684210525</v>
      </c>
      <c r="I16" s="23">
        <f t="shared" si="6"/>
        <v>1</v>
      </c>
      <c r="J16" s="23">
        <f t="shared" si="7"/>
        <v>0.15789473684210525</v>
      </c>
      <c r="K16" s="23">
        <f t="shared" si="7"/>
        <v>0.84210526315789469</v>
      </c>
      <c r="L16" s="23">
        <f t="shared" si="7"/>
        <v>1</v>
      </c>
      <c r="M16" s="23">
        <f t="shared" si="8"/>
        <v>0.52631578947368418</v>
      </c>
      <c r="N16" s="23">
        <f t="shared" si="8"/>
        <v>0.47368421052631576</v>
      </c>
      <c r="O16" s="23">
        <f t="shared" si="8"/>
        <v>1</v>
      </c>
    </row>
    <row r="17" spans="2:15" x14ac:dyDescent="0.35">
      <c r="B17" s="3" t="s">
        <v>180</v>
      </c>
      <c r="C17" s="23">
        <f t="shared" si="5"/>
        <v>0.38461538461538464</v>
      </c>
      <c r="D17" s="23">
        <f t="shared" si="5"/>
        <v>0.34615384615384615</v>
      </c>
      <c r="E17" s="23">
        <f t="shared" si="5"/>
        <v>0.26923076923076922</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40"/>
      <c r="F20" s="4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262</v>
      </c>
      <c r="C22" s="19">
        <f t="shared" ref="C22:F24" si="9">($F8*C$10)/$F$10</f>
        <v>2.6923076923076925</v>
      </c>
      <c r="D22" s="19">
        <f t="shared" si="9"/>
        <v>2.4230769230769229</v>
      </c>
      <c r="E22" s="19">
        <f t="shared" si="9"/>
        <v>1.8846153846153846</v>
      </c>
      <c r="F22" s="19">
        <f t="shared" si="9"/>
        <v>7</v>
      </c>
      <c r="G22" s="19">
        <f t="shared" ref="G22:I24" si="10">($I8*G$10)/$I$10</f>
        <v>5.115384615384615</v>
      </c>
      <c r="H22" s="19">
        <f t="shared" si="10"/>
        <v>1.8846153846153846</v>
      </c>
      <c r="I22" s="19">
        <f t="shared" si="10"/>
        <v>7</v>
      </c>
      <c r="J22" s="19">
        <f t="shared" ref="J22:L24" si="11">($L8*J$10)/$L$10</f>
        <v>1.0769230769230769</v>
      </c>
      <c r="K22" s="19">
        <f t="shared" si="11"/>
        <v>5.9230769230769234</v>
      </c>
      <c r="L22" s="19">
        <f t="shared" si="11"/>
        <v>7</v>
      </c>
      <c r="M22" s="19">
        <f t="shared" ref="M22:O24" si="12">($O8*M$10)/$O$10</f>
        <v>3.5</v>
      </c>
      <c r="N22" s="19">
        <f t="shared" si="12"/>
        <v>3.5</v>
      </c>
      <c r="O22" s="19">
        <f t="shared" si="12"/>
        <v>7</v>
      </c>
    </row>
    <row r="23" spans="2:15" x14ac:dyDescent="0.35">
      <c r="B23" s="6" t="s">
        <v>263</v>
      </c>
      <c r="C23" s="19">
        <f t="shared" si="9"/>
        <v>7.3076923076923075</v>
      </c>
      <c r="D23" s="19">
        <f t="shared" si="9"/>
        <v>6.5769230769230766</v>
      </c>
      <c r="E23" s="19">
        <f t="shared" si="9"/>
        <v>5.115384615384615</v>
      </c>
      <c r="F23" s="19">
        <f t="shared" si="9"/>
        <v>19</v>
      </c>
      <c r="G23" s="19">
        <f t="shared" si="10"/>
        <v>13.884615384615385</v>
      </c>
      <c r="H23" s="19">
        <f t="shared" si="10"/>
        <v>5.115384615384615</v>
      </c>
      <c r="I23" s="19">
        <f t="shared" si="10"/>
        <v>19</v>
      </c>
      <c r="J23" s="19">
        <f t="shared" si="11"/>
        <v>2.9230769230769229</v>
      </c>
      <c r="K23" s="19">
        <f t="shared" si="11"/>
        <v>16.076923076923077</v>
      </c>
      <c r="L23" s="19">
        <f t="shared" si="11"/>
        <v>19</v>
      </c>
      <c r="M23" s="19">
        <f t="shared" si="12"/>
        <v>9.5</v>
      </c>
      <c r="N23" s="19">
        <f t="shared" si="12"/>
        <v>9.5</v>
      </c>
      <c r="O23" s="19">
        <f t="shared" si="12"/>
        <v>19</v>
      </c>
    </row>
    <row r="24" spans="2:15" x14ac:dyDescent="0.35">
      <c r="B24" s="3" t="s">
        <v>180</v>
      </c>
      <c r="C24" s="19">
        <f t="shared" si="9"/>
        <v>10</v>
      </c>
      <c r="D24" s="19">
        <f t="shared" si="9"/>
        <v>9</v>
      </c>
      <c r="E24" s="19">
        <f t="shared" si="9"/>
        <v>7</v>
      </c>
      <c r="F24" s="19">
        <f t="shared" si="9"/>
        <v>26</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40"/>
      <c r="F27" s="4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262</v>
      </c>
      <c r="C29" s="29">
        <f t="shared" ref="C29:E30" si="13">(C8-C22)^2/C22</f>
        <v>3.5164835164835116E-2</v>
      </c>
      <c r="D29" s="29">
        <f t="shared" si="13"/>
        <v>7.3870573870573816E-2</v>
      </c>
      <c r="E29" s="29">
        <f t="shared" si="13"/>
        <v>7.0643642072213539E-3</v>
      </c>
      <c r="F29" s="29"/>
      <c r="G29" s="29">
        <f>(G8-G22)^2/G22</f>
        <v>0.8747831116252166</v>
      </c>
      <c r="H29" s="29">
        <f t="shared" ref="H29:H30" si="14">(H8-H22)^2/H22</f>
        <v>2.3744113029827316</v>
      </c>
      <c r="I29" s="29"/>
      <c r="J29" s="29">
        <f>(J8-J22)^2/J22</f>
        <v>5.4945054945054871E-3</v>
      </c>
      <c r="K29" s="29">
        <f t="shared" ref="K29:K30" si="15">(K8-K22)^2/K22</f>
        <v>9.9900099900099184E-4</v>
      </c>
      <c r="L29" s="29"/>
      <c r="M29" s="29">
        <f>(M8-M22)^2/M22</f>
        <v>7.1428571428571425E-2</v>
      </c>
      <c r="N29" s="29">
        <f t="shared" ref="N29:N30" si="16">(N8-N22)^2/N22</f>
        <v>7.1428571428571425E-2</v>
      </c>
      <c r="O29" s="21"/>
    </row>
    <row r="30" spans="2:15" x14ac:dyDescent="0.35">
      <c r="B30" s="6" t="s">
        <v>263</v>
      </c>
      <c r="C30" s="29">
        <f t="shared" si="13"/>
        <v>1.2955465587044518E-2</v>
      </c>
      <c r="D30" s="29">
        <f t="shared" si="13"/>
        <v>2.7215474583895671E-2</v>
      </c>
      <c r="E30" s="29">
        <f t="shared" si="13"/>
        <v>2.6026604973973209E-3</v>
      </c>
      <c r="F30" s="29"/>
      <c r="G30" s="29">
        <f>(G9-G23)^2/G23</f>
        <v>0.32228851480929027</v>
      </c>
      <c r="H30" s="29">
        <f t="shared" si="14"/>
        <v>0.8747831116252166</v>
      </c>
      <c r="I30" s="29"/>
      <c r="J30" s="29">
        <f>(J9-J23)^2/J23</f>
        <v>2.0242914979757176E-3</v>
      </c>
      <c r="K30" s="29">
        <f t="shared" si="15"/>
        <v>3.6805299963194439E-4</v>
      </c>
      <c r="L30" s="29"/>
      <c r="M30" s="29">
        <f>(M9-M23)^2/M23</f>
        <v>2.6315789473684209E-2</v>
      </c>
      <c r="N30" s="29">
        <f t="shared" si="16"/>
        <v>2.6315789473684209E-2</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0.15887337391096779</v>
      </c>
      <c r="E33" s="13"/>
      <c r="F33" s="13"/>
      <c r="G33" s="13">
        <f>G29+G30+H29+H30</f>
        <v>4.4462660410424553</v>
      </c>
      <c r="H33" s="13"/>
      <c r="I33" s="13"/>
      <c r="J33" s="13">
        <f>J29+K29+J30+K30</f>
        <v>8.8858509911141411E-3</v>
      </c>
      <c r="K33" s="13"/>
      <c r="L33" s="13"/>
      <c r="M33" s="13">
        <f>M29+N29+M30+N30</f>
        <v>0.19548872180451127</v>
      </c>
    </row>
    <row r="34" spans="2:13" x14ac:dyDescent="0.35">
      <c r="B34" s="3" t="s">
        <v>184</v>
      </c>
      <c r="D34" s="24">
        <f>_xlfn.CHISQ.DIST.RT(D33,D32)</f>
        <v>0.92363649635603828</v>
      </c>
      <c r="E34" s="32"/>
      <c r="G34" s="24">
        <f>_xlfn.CHISQ.DIST.RT(G33,G32)</f>
        <v>3.4977646339593577E-2</v>
      </c>
      <c r="J34" s="24">
        <f>_xlfn.CHISQ.DIST.RT(J33,J32)</f>
        <v>0.92489881733915202</v>
      </c>
      <c r="M34" s="24">
        <f>_xlfn.CHISQ.DIST.RT(M33,M32)</f>
        <v>0.65838712970446811</v>
      </c>
    </row>
  </sheetData>
  <mergeCells count="16">
    <mergeCell ref="C6:D6"/>
    <mergeCell ref="G6:I6"/>
    <mergeCell ref="J6:L6"/>
    <mergeCell ref="M6:O6"/>
    <mergeCell ref="C13:D13"/>
    <mergeCell ref="G13:I13"/>
    <mergeCell ref="J13:L13"/>
    <mergeCell ref="M13:O13"/>
    <mergeCell ref="C20:D20"/>
    <mergeCell ref="G20:I20"/>
    <mergeCell ref="J20:L20"/>
    <mergeCell ref="M20:O20"/>
    <mergeCell ref="C27:D27"/>
    <mergeCell ref="G27:I27"/>
    <mergeCell ref="J27:L27"/>
    <mergeCell ref="M27:O27"/>
  </mergeCells>
  <pageMargins left="0.7" right="0.7" top="0.75" bottom="0.75" header="0.3" footer="0.3"/>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workbookViewId="0">
      <selection activeCell="C10" sqref="C10"/>
    </sheetView>
  </sheetViews>
  <sheetFormatPr defaultRowHeight="14.5" x14ac:dyDescent="0.35"/>
  <cols>
    <col min="2" max="2" width="11.36328125" customWidth="1"/>
    <col min="4" max="4" width="12.26953125" bestFit="1" customWidth="1"/>
    <col min="5" max="5" width="12.26953125" customWidth="1"/>
    <col min="7" max="7" width="9.6328125" bestFit="1" customWidth="1"/>
    <col min="8" max="8" width="12.26953125" customWidth="1"/>
    <col min="10" max="10" width="17.1796875" bestFit="1" customWidth="1"/>
    <col min="11" max="11" width="12.26953125" bestFit="1" customWidth="1"/>
    <col min="13" max="13" width="12.36328125" customWidth="1"/>
    <col min="14" max="14" width="12.26953125" bestFit="1" customWidth="1"/>
  </cols>
  <sheetData>
    <row r="2" spans="2:15" x14ac:dyDescent="0.35">
      <c r="C2" s="22" t="s">
        <v>186</v>
      </c>
    </row>
    <row r="3" spans="2:15" x14ac:dyDescent="0.35">
      <c r="C3" s="22" t="s">
        <v>187</v>
      </c>
    </row>
    <row r="5" spans="2:15" x14ac:dyDescent="0.35">
      <c r="B5" s="3" t="s">
        <v>189</v>
      </c>
    </row>
    <row r="6" spans="2:15" x14ac:dyDescent="0.35">
      <c r="C6" s="48" t="s">
        <v>71</v>
      </c>
      <c r="D6" s="48"/>
      <c r="E6" s="40"/>
      <c r="F6" s="40"/>
      <c r="G6" s="48" t="s">
        <v>74</v>
      </c>
      <c r="H6" s="48"/>
      <c r="I6" s="48"/>
      <c r="J6" s="48" t="s">
        <v>178</v>
      </c>
      <c r="K6" s="48"/>
      <c r="L6" s="48"/>
      <c r="M6" s="48" t="s">
        <v>179</v>
      </c>
      <c r="N6" s="48"/>
      <c r="O6" s="48"/>
    </row>
    <row r="7" spans="2:15" x14ac:dyDescent="0.35">
      <c r="C7" s="17" t="s">
        <v>273</v>
      </c>
      <c r="D7" s="17" t="s">
        <v>274</v>
      </c>
      <c r="E7" s="17" t="s">
        <v>275</v>
      </c>
      <c r="F7" s="20" t="s">
        <v>180</v>
      </c>
      <c r="G7" s="17" t="s">
        <v>273</v>
      </c>
      <c r="H7" s="17" t="s">
        <v>275</v>
      </c>
      <c r="I7" s="20" t="s">
        <v>180</v>
      </c>
      <c r="J7" s="17" t="s">
        <v>277</v>
      </c>
      <c r="K7" s="17" t="s">
        <v>274</v>
      </c>
      <c r="L7" s="20" t="s">
        <v>180</v>
      </c>
      <c r="M7" s="17" t="s">
        <v>273</v>
      </c>
      <c r="N7" s="17" t="s">
        <v>274</v>
      </c>
      <c r="O7" s="20" t="s">
        <v>180</v>
      </c>
    </row>
    <row r="8" spans="2:15" x14ac:dyDescent="0.35">
      <c r="B8" s="6" t="s">
        <v>258</v>
      </c>
      <c r="C8" s="18">
        <f>COUNTIFS(cyclone_treatment!V2:V27,0,cyclone_treatment!Z2:Z27,1)</f>
        <v>2</v>
      </c>
      <c r="D8" s="18">
        <f>COUNTIFS(cyclone_treatment!V2:V27,"&lt;0",cyclone_treatment!Z2:Z27,1)</f>
        <v>2</v>
      </c>
      <c r="E8" s="18">
        <f>COUNTIFS(cyclone_treatment!V2:V27,"&gt;0",cyclone_treatment!Z2:Z27,1)</f>
        <v>0</v>
      </c>
      <c r="F8" s="18">
        <f>SUM(C8:E8)</f>
        <v>4</v>
      </c>
      <c r="G8" s="18">
        <f>COUNTIFS(cyclone_treatment!Y2:Y27,0,cyclone_treatment!Z2:Z27,1)</f>
        <v>4</v>
      </c>
      <c r="H8" s="18">
        <f>COUNTIFS(cyclone_treatment!Y2:Y27,"&gt;0",cyclone_treatment!Z2:Z27,1)</f>
        <v>0</v>
      </c>
      <c r="I8" s="18">
        <f>SUM(G8:H8)</f>
        <v>4</v>
      </c>
      <c r="J8" s="18">
        <f>COUNTIFS(cyclone_treatment!P2:P27,"&gt;=0",cyclone_treatment!Z2:Z27,1)</f>
        <v>0</v>
      </c>
      <c r="K8" s="18">
        <f>COUNTIFS(cyclone_treatment!P2:P27,"&lt;0",cyclone_treatment!Z2:Z27,1)</f>
        <v>4</v>
      </c>
      <c r="L8" s="18">
        <f>SUM(J8:K8)</f>
        <v>4</v>
      </c>
      <c r="M8" s="18">
        <f>COUNTIFS(cyclone_treatment!M2:M27,0,cyclone_treatment!Z2:Z27,1)</f>
        <v>2</v>
      </c>
      <c r="N8" s="18">
        <f>COUNTIFS(cyclone_treatment!M2:M27,"&lt;0",cyclone_treatment!Z2:Z27,1)</f>
        <v>2</v>
      </c>
      <c r="O8" s="18">
        <f>SUM(M8:N8)</f>
        <v>4</v>
      </c>
    </row>
    <row r="9" spans="2:15" x14ac:dyDescent="0.35">
      <c r="B9" s="6" t="s">
        <v>259</v>
      </c>
      <c r="C9" s="18">
        <f>COUNTIFS(cyclone_treatment!V2:V27,0,cyclone_treatment!Z2:Z27,0)</f>
        <v>8</v>
      </c>
      <c r="D9" s="18">
        <f>COUNTIFS(cyclone_treatment!V2:V27,"&lt;0",cyclone_treatment!Z2:Z27,0)</f>
        <v>7</v>
      </c>
      <c r="E9" s="18">
        <f>COUNTIFS(cyclone_treatment!V2:V27,"&gt;0",cyclone_treatment!Z2:Z27,0)</f>
        <v>7</v>
      </c>
      <c r="F9" s="18">
        <f t="shared" ref="F9" si="0">SUM(C9:E9)</f>
        <v>22</v>
      </c>
      <c r="G9" s="18">
        <f>COUNTIFS(cyclone_treatment!Y2:Y27,0,cyclone_treatment!Z2:Z27,0)</f>
        <v>15</v>
      </c>
      <c r="H9" s="18">
        <f>COUNTIFS(cyclone_treatment!Y2:Y27,"&gt;0",cyclone_treatment!Z2:Z27,0)</f>
        <v>7</v>
      </c>
      <c r="I9" s="18">
        <f>SUM(G9:H9)</f>
        <v>22</v>
      </c>
      <c r="J9" s="18">
        <f>COUNTIFS(cyclone_treatment!P2:P27,"&gt;=0",cyclone_treatment!Z2:Z27,0)</f>
        <v>4</v>
      </c>
      <c r="K9" s="18">
        <f>COUNTIFS(cyclone_treatment!P2:P27,"&lt;0",cyclone_treatment!Z2:Z27,0)</f>
        <v>18</v>
      </c>
      <c r="L9" s="18">
        <f>SUM(J9:K9)</f>
        <v>22</v>
      </c>
      <c r="M9" s="18">
        <f>COUNTIFS(cyclone_treatment!M2:M27,0,cyclone_treatment!Z2:Z27,0)</f>
        <v>11</v>
      </c>
      <c r="N9" s="18">
        <f>COUNTIFS(cyclone_treatment!M2:M27,"&lt;0",cyclone_treatment!Z2:Z27,0)</f>
        <v>11</v>
      </c>
      <c r="O9" s="18">
        <f>SUM(M9:N9)</f>
        <v>22</v>
      </c>
    </row>
    <row r="10" spans="2:15" x14ac:dyDescent="0.35">
      <c r="B10" s="3" t="s">
        <v>180</v>
      </c>
      <c r="C10" s="18">
        <f>SUM(C8:C9)</f>
        <v>10</v>
      </c>
      <c r="D10" s="18">
        <f t="shared" ref="D10:F10" si="1">SUM(D8:D9)</f>
        <v>9</v>
      </c>
      <c r="E10" s="18">
        <f t="shared" si="1"/>
        <v>7</v>
      </c>
      <c r="F10" s="18">
        <f t="shared" si="1"/>
        <v>26</v>
      </c>
      <c r="G10" s="22">
        <f>SUM(G8:G9)</f>
        <v>19</v>
      </c>
      <c r="H10" s="22">
        <f t="shared" ref="H10:I10" si="2">SUM(H8:H9)</f>
        <v>7</v>
      </c>
      <c r="I10" s="22">
        <f t="shared" si="2"/>
        <v>26</v>
      </c>
      <c r="J10" s="22">
        <f>SUM(J8:J9)</f>
        <v>4</v>
      </c>
      <c r="K10" s="22">
        <f t="shared" ref="K10:L10" si="3">SUM(K8:K9)</f>
        <v>22</v>
      </c>
      <c r="L10" s="22">
        <f t="shared" si="3"/>
        <v>26</v>
      </c>
      <c r="M10" s="22">
        <f>SUM(M8:M9)</f>
        <v>13</v>
      </c>
      <c r="N10" s="22">
        <f t="shared" ref="N10:O10" si="4">SUM(N8:N9)</f>
        <v>13</v>
      </c>
      <c r="O10" s="22">
        <f t="shared" si="4"/>
        <v>26</v>
      </c>
    </row>
    <row r="12" spans="2:15" x14ac:dyDescent="0.35">
      <c r="B12" s="3" t="s">
        <v>188</v>
      </c>
    </row>
    <row r="13" spans="2:15" x14ac:dyDescent="0.35">
      <c r="C13" s="48" t="s">
        <v>71</v>
      </c>
      <c r="D13" s="48"/>
      <c r="E13" s="40"/>
      <c r="F13" s="40"/>
      <c r="G13" s="48" t="s">
        <v>74</v>
      </c>
      <c r="H13" s="48"/>
      <c r="I13" s="48"/>
      <c r="J13" s="48" t="s">
        <v>178</v>
      </c>
      <c r="K13" s="48"/>
      <c r="L13" s="48"/>
      <c r="M13" s="48" t="s">
        <v>179</v>
      </c>
      <c r="N13" s="48"/>
      <c r="O13" s="48"/>
    </row>
    <row r="14" spans="2:15" x14ac:dyDescent="0.35">
      <c r="C14" s="17" t="s">
        <v>273</v>
      </c>
      <c r="D14" s="17" t="s">
        <v>274</v>
      </c>
      <c r="E14" s="17" t="s">
        <v>275</v>
      </c>
      <c r="F14" s="20" t="s">
        <v>180</v>
      </c>
      <c r="G14" s="17" t="s">
        <v>273</v>
      </c>
      <c r="H14" s="17" t="s">
        <v>275</v>
      </c>
      <c r="I14" s="20" t="s">
        <v>180</v>
      </c>
      <c r="J14" s="17" t="s">
        <v>277</v>
      </c>
      <c r="K14" s="17" t="s">
        <v>274</v>
      </c>
      <c r="L14" s="20" t="s">
        <v>180</v>
      </c>
      <c r="M14" s="17" t="s">
        <v>273</v>
      </c>
      <c r="N14" s="17" t="s">
        <v>274</v>
      </c>
      <c r="O14" s="20" t="s">
        <v>180</v>
      </c>
    </row>
    <row r="15" spans="2:15" x14ac:dyDescent="0.35">
      <c r="B15" s="6" t="s">
        <v>258</v>
      </c>
      <c r="C15" s="23">
        <f t="shared" ref="C15:F17" si="5">C8/$F8</f>
        <v>0.5</v>
      </c>
      <c r="D15" s="23">
        <f t="shared" si="5"/>
        <v>0.5</v>
      </c>
      <c r="E15" s="23">
        <f t="shared" si="5"/>
        <v>0</v>
      </c>
      <c r="F15" s="23">
        <f t="shared" si="5"/>
        <v>1</v>
      </c>
      <c r="G15" s="23">
        <f t="shared" ref="G15:I17" si="6">G8/$I8</f>
        <v>1</v>
      </c>
      <c r="H15" s="23">
        <f t="shared" si="6"/>
        <v>0</v>
      </c>
      <c r="I15" s="23">
        <f t="shared" si="6"/>
        <v>1</v>
      </c>
      <c r="J15" s="23">
        <f t="shared" ref="J15:L17" si="7">J8/$L8</f>
        <v>0</v>
      </c>
      <c r="K15" s="23">
        <f t="shared" si="7"/>
        <v>1</v>
      </c>
      <c r="L15" s="23">
        <f t="shared" si="7"/>
        <v>1</v>
      </c>
      <c r="M15" s="23">
        <f t="shared" ref="M15:O17" si="8">M8/$O8</f>
        <v>0.5</v>
      </c>
      <c r="N15" s="23">
        <f t="shared" si="8"/>
        <v>0.5</v>
      </c>
      <c r="O15" s="23">
        <f t="shared" si="8"/>
        <v>1</v>
      </c>
    </row>
    <row r="16" spans="2:15" x14ac:dyDescent="0.35">
      <c r="B16" s="6" t="s">
        <v>259</v>
      </c>
      <c r="C16" s="23">
        <f t="shared" si="5"/>
        <v>0.36363636363636365</v>
      </c>
      <c r="D16" s="23">
        <f t="shared" si="5"/>
        <v>0.31818181818181818</v>
      </c>
      <c r="E16" s="23">
        <f t="shared" si="5"/>
        <v>0.31818181818181818</v>
      </c>
      <c r="F16" s="23">
        <f t="shared" si="5"/>
        <v>1</v>
      </c>
      <c r="G16" s="23">
        <f t="shared" si="6"/>
        <v>0.68181818181818177</v>
      </c>
      <c r="H16" s="23">
        <f t="shared" si="6"/>
        <v>0.31818181818181818</v>
      </c>
      <c r="I16" s="23">
        <f t="shared" si="6"/>
        <v>1</v>
      </c>
      <c r="J16" s="23">
        <f t="shared" si="7"/>
        <v>0.18181818181818182</v>
      </c>
      <c r="K16" s="23">
        <f t="shared" si="7"/>
        <v>0.81818181818181823</v>
      </c>
      <c r="L16" s="23">
        <f t="shared" si="7"/>
        <v>1</v>
      </c>
      <c r="M16" s="23">
        <f t="shared" si="8"/>
        <v>0.5</v>
      </c>
      <c r="N16" s="23">
        <f t="shared" si="8"/>
        <v>0.5</v>
      </c>
      <c r="O16" s="23">
        <f t="shared" si="8"/>
        <v>1</v>
      </c>
    </row>
    <row r="17" spans="2:15" x14ac:dyDescent="0.35">
      <c r="B17" s="3" t="s">
        <v>180</v>
      </c>
      <c r="C17" s="23">
        <f t="shared" si="5"/>
        <v>0.38461538461538464</v>
      </c>
      <c r="D17" s="23">
        <f t="shared" si="5"/>
        <v>0.34615384615384615</v>
      </c>
      <c r="E17" s="23">
        <f t="shared" si="5"/>
        <v>0.26923076923076922</v>
      </c>
      <c r="F17" s="23">
        <f t="shared" si="5"/>
        <v>1</v>
      </c>
      <c r="G17" s="23">
        <f t="shared" si="6"/>
        <v>0.73076923076923073</v>
      </c>
      <c r="H17" s="23">
        <f t="shared" si="6"/>
        <v>0.26923076923076922</v>
      </c>
      <c r="I17" s="23">
        <f t="shared" si="6"/>
        <v>1</v>
      </c>
      <c r="J17" s="23">
        <f t="shared" si="7"/>
        <v>0.15384615384615385</v>
      </c>
      <c r="K17" s="23">
        <f t="shared" si="7"/>
        <v>0.84615384615384615</v>
      </c>
      <c r="L17" s="23">
        <f t="shared" si="7"/>
        <v>1</v>
      </c>
      <c r="M17" s="23">
        <f t="shared" si="8"/>
        <v>0.5</v>
      </c>
      <c r="N17" s="23">
        <f t="shared" si="8"/>
        <v>0.5</v>
      </c>
      <c r="O17" s="23">
        <f t="shared" si="8"/>
        <v>1</v>
      </c>
    </row>
    <row r="19" spans="2:15" x14ac:dyDescent="0.35">
      <c r="B19" s="3" t="s">
        <v>181</v>
      </c>
    </row>
    <row r="20" spans="2:15" x14ac:dyDescent="0.35">
      <c r="C20" s="48" t="s">
        <v>71</v>
      </c>
      <c r="D20" s="48"/>
      <c r="E20" s="40"/>
      <c r="F20" s="40"/>
      <c r="G20" s="48" t="s">
        <v>74</v>
      </c>
      <c r="H20" s="48"/>
      <c r="I20" s="48"/>
      <c r="J20" s="48" t="s">
        <v>178</v>
      </c>
      <c r="K20" s="48"/>
      <c r="L20" s="48"/>
      <c r="M20" s="48" t="s">
        <v>179</v>
      </c>
      <c r="N20" s="48"/>
      <c r="O20" s="48"/>
    </row>
    <row r="21" spans="2:15" x14ac:dyDescent="0.35">
      <c r="C21" s="17" t="s">
        <v>273</v>
      </c>
      <c r="D21" s="17" t="s">
        <v>274</v>
      </c>
      <c r="E21" s="17" t="s">
        <v>275</v>
      </c>
      <c r="F21" s="20" t="s">
        <v>180</v>
      </c>
      <c r="G21" s="17" t="s">
        <v>273</v>
      </c>
      <c r="H21" s="17" t="s">
        <v>275</v>
      </c>
      <c r="I21" s="20" t="s">
        <v>180</v>
      </c>
      <c r="J21" s="17" t="s">
        <v>277</v>
      </c>
      <c r="K21" s="17" t="s">
        <v>274</v>
      </c>
      <c r="L21" s="20" t="s">
        <v>180</v>
      </c>
      <c r="M21" s="17" t="s">
        <v>273</v>
      </c>
      <c r="N21" s="17" t="s">
        <v>274</v>
      </c>
      <c r="O21" s="20" t="s">
        <v>180</v>
      </c>
    </row>
    <row r="22" spans="2:15" x14ac:dyDescent="0.35">
      <c r="B22" s="6" t="s">
        <v>258</v>
      </c>
      <c r="C22" s="19">
        <f t="shared" ref="C22:F24" si="9">($F8*C$10)/$F$10</f>
        <v>1.5384615384615385</v>
      </c>
      <c r="D22" s="19">
        <f t="shared" si="9"/>
        <v>1.3846153846153846</v>
      </c>
      <c r="E22" s="19">
        <f t="shared" si="9"/>
        <v>1.0769230769230769</v>
      </c>
      <c r="F22" s="19">
        <f t="shared" si="9"/>
        <v>4</v>
      </c>
      <c r="G22" s="19">
        <f t="shared" ref="G22:I24" si="10">($I8*G$10)/$I$10</f>
        <v>2.9230769230769229</v>
      </c>
      <c r="H22" s="19">
        <f t="shared" si="10"/>
        <v>1.0769230769230769</v>
      </c>
      <c r="I22" s="19">
        <f t="shared" si="10"/>
        <v>4</v>
      </c>
      <c r="J22" s="19">
        <f t="shared" ref="J22:L24" si="11">($L8*J$10)/$L$10</f>
        <v>0.61538461538461542</v>
      </c>
      <c r="K22" s="19">
        <f t="shared" si="11"/>
        <v>3.3846153846153846</v>
      </c>
      <c r="L22" s="19">
        <f t="shared" si="11"/>
        <v>4</v>
      </c>
      <c r="M22" s="19">
        <f t="shared" ref="M22:O24" si="12">($O8*M$10)/$O$10</f>
        <v>2</v>
      </c>
      <c r="N22" s="19">
        <f t="shared" si="12"/>
        <v>2</v>
      </c>
      <c r="O22" s="19">
        <f t="shared" si="12"/>
        <v>4</v>
      </c>
    </row>
    <row r="23" spans="2:15" x14ac:dyDescent="0.35">
      <c r="B23" s="6" t="s">
        <v>259</v>
      </c>
      <c r="C23" s="19">
        <f t="shared" si="9"/>
        <v>8.4615384615384617</v>
      </c>
      <c r="D23" s="19">
        <f t="shared" si="9"/>
        <v>7.615384615384615</v>
      </c>
      <c r="E23" s="19">
        <f t="shared" si="9"/>
        <v>5.9230769230769234</v>
      </c>
      <c r="F23" s="19">
        <f t="shared" si="9"/>
        <v>22</v>
      </c>
      <c r="G23" s="19">
        <f t="shared" si="10"/>
        <v>16.076923076923077</v>
      </c>
      <c r="H23" s="19">
        <f t="shared" si="10"/>
        <v>5.9230769230769234</v>
      </c>
      <c r="I23" s="19">
        <f t="shared" si="10"/>
        <v>22</v>
      </c>
      <c r="J23" s="19">
        <f t="shared" si="11"/>
        <v>3.3846153846153846</v>
      </c>
      <c r="K23" s="19">
        <f t="shared" si="11"/>
        <v>18.615384615384617</v>
      </c>
      <c r="L23" s="19">
        <f t="shared" si="11"/>
        <v>22</v>
      </c>
      <c r="M23" s="19">
        <f t="shared" si="12"/>
        <v>11</v>
      </c>
      <c r="N23" s="19">
        <f t="shared" si="12"/>
        <v>11</v>
      </c>
      <c r="O23" s="19">
        <f t="shared" si="12"/>
        <v>22</v>
      </c>
    </row>
    <row r="24" spans="2:15" x14ac:dyDescent="0.35">
      <c r="B24" s="3" t="s">
        <v>180</v>
      </c>
      <c r="C24" s="19">
        <f t="shared" si="9"/>
        <v>10</v>
      </c>
      <c r="D24" s="19">
        <f t="shared" si="9"/>
        <v>9</v>
      </c>
      <c r="E24" s="19">
        <f t="shared" si="9"/>
        <v>7</v>
      </c>
      <c r="F24" s="19">
        <f t="shared" si="9"/>
        <v>26</v>
      </c>
      <c r="G24" s="19">
        <f t="shared" si="10"/>
        <v>19</v>
      </c>
      <c r="H24" s="19">
        <f t="shared" si="10"/>
        <v>7</v>
      </c>
      <c r="I24" s="19">
        <f t="shared" si="10"/>
        <v>26</v>
      </c>
      <c r="J24" s="19">
        <f t="shared" si="11"/>
        <v>4</v>
      </c>
      <c r="K24" s="19">
        <f t="shared" si="11"/>
        <v>22</v>
      </c>
      <c r="L24" s="19">
        <f t="shared" si="11"/>
        <v>26</v>
      </c>
      <c r="M24" s="19">
        <f t="shared" si="12"/>
        <v>13</v>
      </c>
      <c r="N24" s="19">
        <f t="shared" si="12"/>
        <v>13</v>
      </c>
      <c r="O24" s="19">
        <f t="shared" si="12"/>
        <v>26</v>
      </c>
    </row>
    <row r="26" spans="2:15" x14ac:dyDescent="0.35">
      <c r="B26" s="3" t="s">
        <v>182</v>
      </c>
    </row>
    <row r="27" spans="2:15" x14ac:dyDescent="0.35">
      <c r="C27" s="48" t="s">
        <v>71</v>
      </c>
      <c r="D27" s="48"/>
      <c r="E27" s="40"/>
      <c r="F27" s="40"/>
      <c r="G27" s="48" t="s">
        <v>74</v>
      </c>
      <c r="H27" s="48"/>
      <c r="I27" s="48"/>
      <c r="J27" s="48" t="s">
        <v>178</v>
      </c>
      <c r="K27" s="48"/>
      <c r="L27" s="48"/>
      <c r="M27" s="48" t="s">
        <v>179</v>
      </c>
      <c r="N27" s="48"/>
      <c r="O27" s="48"/>
    </row>
    <row r="28" spans="2:15" x14ac:dyDescent="0.35">
      <c r="C28" s="17" t="s">
        <v>273</v>
      </c>
      <c r="D28" s="17" t="s">
        <v>274</v>
      </c>
      <c r="E28" s="17" t="s">
        <v>275</v>
      </c>
      <c r="F28" s="20"/>
      <c r="G28" s="17" t="s">
        <v>273</v>
      </c>
      <c r="H28" s="17" t="s">
        <v>275</v>
      </c>
      <c r="I28" s="20"/>
      <c r="J28" s="17" t="s">
        <v>277</v>
      </c>
      <c r="K28" s="17" t="s">
        <v>274</v>
      </c>
      <c r="L28" s="20"/>
      <c r="M28" s="17" t="s">
        <v>273</v>
      </c>
      <c r="N28" s="17" t="s">
        <v>274</v>
      </c>
      <c r="O28" s="20"/>
    </row>
    <row r="29" spans="2:15" x14ac:dyDescent="0.35">
      <c r="B29" s="6" t="s">
        <v>258</v>
      </c>
      <c r="C29" s="29">
        <f t="shared" ref="C29:E30" si="13">(C8-C22)^2/C22</f>
        <v>0.13846153846153841</v>
      </c>
      <c r="D29" s="29">
        <f t="shared" si="13"/>
        <v>0.27350427350427353</v>
      </c>
      <c r="E29" s="29">
        <f t="shared" si="13"/>
        <v>1.0769230769230769</v>
      </c>
      <c r="F29" s="29"/>
      <c r="G29" s="29">
        <f>(G8-G22)^2/G22</f>
        <v>0.396761133603239</v>
      </c>
      <c r="H29" s="29">
        <f t="shared" ref="H29:H30" si="14">(H8-H22)^2/H22</f>
        <v>1.0769230769230769</v>
      </c>
      <c r="I29" s="29"/>
      <c r="J29" s="29">
        <f>(J8-J22)^2/J22</f>
        <v>0.61538461538461542</v>
      </c>
      <c r="K29" s="29">
        <f t="shared" ref="K29:K30" si="15">(K8-K22)^2/K22</f>
        <v>0.1118881118881119</v>
      </c>
      <c r="L29" s="29"/>
      <c r="M29" s="29">
        <f>(M8-M22)^2/M22</f>
        <v>0</v>
      </c>
      <c r="N29" s="29">
        <f t="shared" ref="N29:N30" si="16">(N8-N22)^2/N22</f>
        <v>0</v>
      </c>
      <c r="O29" s="21"/>
    </row>
    <row r="30" spans="2:15" x14ac:dyDescent="0.35">
      <c r="B30" s="6" t="s">
        <v>259</v>
      </c>
      <c r="C30" s="29">
        <f t="shared" si="13"/>
        <v>2.5174825174825187E-2</v>
      </c>
      <c r="D30" s="29">
        <f t="shared" si="13"/>
        <v>4.9728049728049666E-2</v>
      </c>
      <c r="E30" s="29">
        <f t="shared" si="13"/>
        <v>0.1958041958041957</v>
      </c>
      <c r="F30" s="29"/>
      <c r="G30" s="29">
        <f>(G9-G23)^2/G23</f>
        <v>7.2138387927861577E-2</v>
      </c>
      <c r="H30" s="29">
        <f t="shared" si="14"/>
        <v>0.1958041958041957</v>
      </c>
      <c r="I30" s="29"/>
      <c r="J30" s="29">
        <f>(J9-J23)^2/J23</f>
        <v>0.1118881118881119</v>
      </c>
      <c r="K30" s="29">
        <f t="shared" si="15"/>
        <v>2.0343293070565885E-2</v>
      </c>
      <c r="L30" s="29"/>
      <c r="M30" s="29">
        <f>(M9-M23)^2/M23</f>
        <v>0</v>
      </c>
      <c r="N30" s="29">
        <f t="shared" si="16"/>
        <v>0</v>
      </c>
      <c r="O30" s="21"/>
    </row>
    <row r="31" spans="2:15" x14ac:dyDescent="0.35">
      <c r="B31" s="3"/>
      <c r="C31" s="21"/>
      <c r="D31" s="21"/>
      <c r="E31" s="21"/>
      <c r="F31" s="21"/>
      <c r="G31" s="21"/>
      <c r="H31" s="21"/>
      <c r="I31" s="21"/>
      <c r="J31" s="21"/>
      <c r="K31" s="21"/>
      <c r="L31" s="21"/>
      <c r="M31" s="21"/>
      <c r="N31" s="21"/>
      <c r="O31" s="21"/>
    </row>
    <row r="32" spans="2:15" x14ac:dyDescent="0.35">
      <c r="B32" s="3" t="s">
        <v>185</v>
      </c>
      <c r="C32" s="21"/>
      <c r="D32" s="19">
        <v>2</v>
      </c>
      <c r="E32" s="19"/>
      <c r="F32" s="21"/>
      <c r="G32" s="19">
        <v>1</v>
      </c>
      <c r="H32" s="21"/>
      <c r="I32" s="21"/>
      <c r="J32" s="19">
        <v>1</v>
      </c>
      <c r="K32" s="21"/>
      <c r="L32" s="21"/>
      <c r="M32" s="19">
        <v>1</v>
      </c>
      <c r="N32" s="21"/>
      <c r="O32" s="21"/>
    </row>
    <row r="33" spans="2:13" x14ac:dyDescent="0.35">
      <c r="B33" s="3" t="s">
        <v>183</v>
      </c>
      <c r="D33" s="13">
        <f>C29+C30+D29+D30+E29+E30</f>
        <v>1.7595959595959594</v>
      </c>
      <c r="E33" s="13"/>
      <c r="F33" s="13"/>
      <c r="G33" s="13">
        <f>G29+G30+H29+H30</f>
        <v>1.7416267942583732</v>
      </c>
      <c r="H33" s="13"/>
      <c r="I33" s="13"/>
      <c r="J33" s="13">
        <f>J29+K29+J30+K30</f>
        <v>0.85950413223140509</v>
      </c>
      <c r="K33" s="13"/>
      <c r="L33" s="13"/>
      <c r="M33" s="13">
        <f>M29+N29+M30+N30</f>
        <v>0</v>
      </c>
    </row>
    <row r="34" spans="2:13" x14ac:dyDescent="0.35">
      <c r="B34" s="3" t="s">
        <v>184</v>
      </c>
      <c r="D34" s="24">
        <f>_xlfn.CHISQ.DIST.RT(D33,D32)</f>
        <v>0.41486671467385755</v>
      </c>
      <c r="E34" s="32"/>
      <c r="G34" s="24">
        <f>_xlfn.CHISQ.DIST.RT(G33,G32)</f>
        <v>0.18693283310792377</v>
      </c>
      <c r="J34" s="24">
        <f>_xlfn.CHISQ.DIST.RT(J33,J32)</f>
        <v>0.35387749384359024</v>
      </c>
      <c r="M34" s="24">
        <f>_xlfn.CHISQ.DIST.RT(M33,M32)</f>
        <v>1</v>
      </c>
    </row>
  </sheetData>
  <mergeCells count="16">
    <mergeCell ref="C6:D6"/>
    <mergeCell ref="G6:I6"/>
    <mergeCell ref="J6:L6"/>
    <mergeCell ref="M6:O6"/>
    <mergeCell ref="C13:D13"/>
    <mergeCell ref="G13:I13"/>
    <mergeCell ref="J13:L13"/>
    <mergeCell ref="M13:O13"/>
    <mergeCell ref="C20:D20"/>
    <mergeCell ref="G20:I20"/>
    <mergeCell ref="J20:L20"/>
    <mergeCell ref="M20:O20"/>
    <mergeCell ref="C27:D27"/>
    <mergeCell ref="G27:I27"/>
    <mergeCell ref="J27:L27"/>
    <mergeCell ref="M27:O27"/>
  </mergeCells>
  <pageMargins left="0.7" right="0.7" top="0.75" bottom="0.75" header="0.3" footer="0.3"/>
  <pageSetup paperSize="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17A21884C7904D94FAE8E78F6791C9" ma:contentTypeVersion="14" ma:contentTypeDescription="Create a new document." ma:contentTypeScope="" ma:versionID="c8f0ea01bae9bbbcf3e04c78f0d3bfb1">
  <xsd:schema xmlns:xsd="http://www.w3.org/2001/XMLSchema" xmlns:xs="http://www.w3.org/2001/XMLSchema" xmlns:p="http://schemas.microsoft.com/office/2006/metadata/properties" xmlns:ns3="2b7eb747-fbb4-4328-b123-7b92e8430e97" xmlns:ns4="c8f38e00-0858-4873-9dd9-b62711104405" targetNamespace="http://schemas.microsoft.com/office/2006/metadata/properties" ma:root="true" ma:fieldsID="27e4ba63324dd816881ea373476538be" ns3:_="" ns4:_="">
    <xsd:import namespace="2b7eb747-fbb4-4328-b123-7b92e8430e97"/>
    <xsd:import namespace="c8f38e00-0858-4873-9dd9-b6271110440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eb747-fbb4-4328-b123-7b92e8430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f38e00-0858-4873-9dd9-b627111044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A4A5D-06F4-4C5E-A0D3-D878133AC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eb747-fbb4-4328-b123-7b92e8430e97"/>
    <ds:schemaRef ds:uri="c8f38e00-0858-4873-9dd9-b627111044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E72FF9-3F36-4C83-B74D-E410CDCD09A9}">
  <ds:schemaRefs>
    <ds:schemaRef ds:uri="http://schemas.microsoft.com/office/2006/documentManagement/types"/>
    <ds:schemaRef ds:uri="http://purl.org/dc/terms/"/>
    <ds:schemaRef ds:uri="2b7eb747-fbb4-4328-b123-7b92e8430e97"/>
    <ds:schemaRef ds:uri="http://purl.org/dc/dcmitype/"/>
    <ds:schemaRef ds:uri="http://schemas.microsoft.com/office/infopath/2007/PartnerControls"/>
    <ds:schemaRef ds:uri="c8f38e00-0858-4873-9dd9-b62711104405"/>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9AC2B8D-9853-4078-B2BD-FD449549CE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Info</vt:lpstr>
      <vt:lpstr>datasheet</vt:lpstr>
      <vt:lpstr>codesheet</vt:lpstr>
      <vt:lpstr>sample decription</vt:lpstr>
      <vt:lpstr>chi_control</vt:lpstr>
      <vt:lpstr>datasheet_control</vt:lpstr>
      <vt:lpstr>chi_control_monitor</vt:lpstr>
      <vt:lpstr>chi_control_nrm</vt:lpstr>
      <vt:lpstr>chi_control_co2</vt:lpstr>
      <vt:lpstr>chi_control_support</vt:lpstr>
      <vt:lpstr>datasheet_treatment</vt:lpstr>
      <vt:lpstr>bleach_treatment</vt:lpstr>
      <vt:lpstr>chi_monitor</vt:lpstr>
      <vt:lpstr>chi_nrm</vt:lpstr>
      <vt:lpstr>chi_co2</vt:lpstr>
      <vt:lpstr>chi_chgsites</vt:lpstr>
      <vt:lpstr>chi_chgact</vt:lpstr>
      <vt:lpstr>chi_support</vt:lpstr>
      <vt:lpstr>chi_chgop</vt:lpstr>
      <vt:lpstr>cyclone_treatment</vt:lpstr>
      <vt:lpstr>chi_chgsites_cyclone</vt:lpstr>
      <vt:lpstr>chi_monitor_cyclone</vt:lpstr>
      <vt:lpstr>chi_nrm_cyclone</vt:lpstr>
      <vt:lpstr>chi_co2_cyclone</vt:lpstr>
      <vt:lpstr>chi_relief_cyclone</vt:lpstr>
      <vt:lpstr>chi_chgact_cyclone</vt:lpstr>
      <vt:lpstr>chi_support_cyclone</vt:lpstr>
      <vt:lpstr>chi_divbl_cyclone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2023-02-07T00:49:59Z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0x010100C517A21884C7904D94FAE8E78F6791C9</vt:lpwstr>
  </property>
</Properties>
</file>