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740"/>
  </bookViews>
  <sheets>
    <sheet name="Info" sheetId="3" r:id="rId1"/>
    <sheet name="codesheet" sheetId="2" r:id="rId2"/>
    <sheet name="datasheet" sheetId="1" r:id="rId3"/>
    <sheet name="sample decription"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 i="1" l="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 i="1"/>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 i="1"/>
  <c r="I61" i="5"/>
  <c r="I60" i="5"/>
  <c r="H61" i="5"/>
  <c r="H60" i="5"/>
  <c r="G61" i="5"/>
  <c r="G60" i="5"/>
  <c r="G59" i="5"/>
  <c r="F61" i="5"/>
  <c r="F60" i="5"/>
  <c r="E61" i="5"/>
  <c r="E60" i="5"/>
  <c r="D61" i="5"/>
  <c r="D60" i="5"/>
  <c r="C61" i="5"/>
  <c r="C60" i="5"/>
  <c r="I59" i="5"/>
  <c r="H59" i="5"/>
  <c r="F59" i="5"/>
  <c r="E59" i="5"/>
  <c r="D59" i="5"/>
  <c r="C59" i="5"/>
  <c r="J54" i="5"/>
  <c r="J55" i="5" s="1" a="1"/>
  <c r="J55" i="5" s="1"/>
  <c r="I54" i="5" a="1"/>
  <c r="I54" i="5" s="1"/>
  <c r="I55" i="5" s="1" a="1"/>
  <c r="I55" i="5" s="1"/>
  <c r="H54" i="5" a="1"/>
  <c r="H54" i="5" s="1"/>
  <c r="H55" i="5" s="1" a="1"/>
  <c r="H55" i="5" s="1"/>
  <c r="G54" i="5" a="1"/>
  <c r="G54" i="5" s="1"/>
  <c r="G55" i="5" s="1" a="1"/>
  <c r="G55" i="5" s="1"/>
  <c r="F54" i="5" a="1"/>
  <c r="F54" i="5" s="1"/>
  <c r="F55" i="5" s="1"/>
  <c r="E54" i="5" a="1"/>
  <c r="E54" i="5" s="1"/>
  <c r="E55" i="5" s="1" a="1"/>
  <c r="E55" i="5" s="1"/>
  <c r="D54" i="5" a="1"/>
  <c r="D54" i="5" s="1"/>
  <c r="D55" i="5" s="1" a="1"/>
  <c r="D55" i="5" s="1"/>
  <c r="C54" i="5" a="1"/>
  <c r="C54" i="5" s="1"/>
  <c r="C55" i="5" s="1" a="1"/>
  <c r="C55" i="5" s="1"/>
  <c r="J49" i="5"/>
  <c r="J50" i="5" s="1" a="1"/>
  <c r="J50" i="5" s="1"/>
  <c r="I49" i="5" a="1"/>
  <c r="I49" i="5" s="1"/>
  <c r="I50" i="5" s="1" a="1"/>
  <c r="I50" i="5" s="1"/>
  <c r="H49" i="5" a="1"/>
  <c r="H49" i="5" s="1"/>
  <c r="H50" i="5" s="1" a="1"/>
  <c r="H50" i="5" s="1"/>
  <c r="G49" i="5" a="1"/>
  <c r="G49" i="5" s="1"/>
  <c r="G50" i="5" s="1" a="1"/>
  <c r="G50" i="5" s="1"/>
  <c r="F49" i="5" a="1"/>
  <c r="F49" i="5" s="1"/>
  <c r="F50" i="5" s="1" a="1"/>
  <c r="F50" i="5" s="1"/>
  <c r="E49" i="5" a="1"/>
  <c r="E49" i="5" s="1"/>
  <c r="E50" i="5" s="1" a="1"/>
  <c r="E50" i="5" s="1"/>
  <c r="D49" i="5" a="1"/>
  <c r="D49" i="5" s="1"/>
  <c r="D50" i="5" s="1" a="1"/>
  <c r="D50" i="5" s="1"/>
  <c r="C49" i="5"/>
  <c r="C50" i="5" s="1" a="1"/>
  <c r="C50" i="5" s="1"/>
  <c r="I45" i="5"/>
  <c r="I44" i="5"/>
  <c r="I43" i="5"/>
  <c r="H45" i="5"/>
  <c r="H44" i="5"/>
  <c r="H43" i="5"/>
  <c r="G45" i="5"/>
  <c r="G44" i="5"/>
  <c r="G43" i="5"/>
  <c r="F45" i="5"/>
  <c r="F44" i="5"/>
  <c r="F43" i="5"/>
  <c r="E45" i="5"/>
  <c r="E44" i="5"/>
  <c r="E43" i="5"/>
  <c r="D45" i="5"/>
  <c r="D44" i="5"/>
  <c r="D43" i="5"/>
  <c r="C45" i="5"/>
  <c r="C44" i="5"/>
  <c r="C43" i="5"/>
  <c r="I42" i="5"/>
  <c r="H42" i="5"/>
  <c r="G42" i="5"/>
  <c r="F42" i="5"/>
  <c r="E42" i="5"/>
  <c r="D42" i="5"/>
  <c r="C42" i="5"/>
  <c r="I38" i="5"/>
  <c r="I37" i="5"/>
  <c r="I36" i="5"/>
  <c r="I35" i="5"/>
  <c r="H38" i="5"/>
  <c r="H37" i="5"/>
  <c r="H36" i="5"/>
  <c r="H35" i="5"/>
  <c r="G38" i="5"/>
  <c r="G37" i="5"/>
  <c r="G36" i="5"/>
  <c r="G35" i="5"/>
  <c r="F38" i="5"/>
  <c r="F37" i="5"/>
  <c r="F36" i="5"/>
  <c r="F35" i="5"/>
  <c r="I34" i="5"/>
  <c r="H34" i="5"/>
  <c r="G34" i="5"/>
  <c r="F34" i="5"/>
  <c r="E38" i="5"/>
  <c r="E37" i="5"/>
  <c r="E36" i="5"/>
  <c r="E35" i="5"/>
  <c r="E34" i="5"/>
  <c r="D38" i="5"/>
  <c r="D37" i="5"/>
  <c r="D36" i="5"/>
  <c r="D35" i="5"/>
  <c r="D34" i="5"/>
  <c r="C38" i="5"/>
  <c r="C37" i="5"/>
  <c r="C36" i="5"/>
  <c r="C35" i="5"/>
  <c r="C34" i="5"/>
  <c r="I33" i="5"/>
  <c r="H33" i="5"/>
  <c r="G33" i="5"/>
  <c r="F33" i="5"/>
  <c r="E33" i="5"/>
  <c r="D33" i="5"/>
  <c r="I32" i="5"/>
  <c r="H32" i="5"/>
  <c r="G32" i="5"/>
  <c r="F32" i="5"/>
  <c r="E32" i="5"/>
  <c r="D32" i="5"/>
  <c r="I31" i="5"/>
  <c r="H31" i="5"/>
  <c r="G31" i="5"/>
  <c r="F31" i="5"/>
  <c r="E31" i="5"/>
  <c r="D31" i="5"/>
  <c r="I30" i="5"/>
  <c r="H30" i="5"/>
  <c r="G30" i="5"/>
  <c r="F30" i="5"/>
  <c r="E30" i="5"/>
  <c r="D30" i="5"/>
  <c r="C30" i="5"/>
  <c r="I29" i="5"/>
  <c r="H29" i="5"/>
  <c r="G29" i="5"/>
  <c r="F29" i="5"/>
  <c r="E29" i="5"/>
  <c r="D29" i="5"/>
  <c r="I28" i="5"/>
  <c r="H28" i="5"/>
  <c r="G28" i="5"/>
  <c r="F28" i="5"/>
  <c r="E28" i="5"/>
  <c r="D28" i="5"/>
  <c r="I27" i="5"/>
  <c r="H27" i="5"/>
  <c r="G27" i="5"/>
  <c r="F27" i="5"/>
  <c r="E27" i="5"/>
  <c r="D27" i="5"/>
  <c r="I26" i="5"/>
  <c r="H26" i="5"/>
  <c r="G26" i="5"/>
  <c r="F26" i="5"/>
  <c r="E26" i="5"/>
  <c r="D26" i="5"/>
  <c r="I25" i="5"/>
  <c r="H25" i="5"/>
  <c r="G25" i="5"/>
  <c r="F25" i="5"/>
  <c r="E25" i="5"/>
  <c r="D25" i="5"/>
  <c r="C33" i="5"/>
  <c r="C32" i="5"/>
  <c r="C31" i="5"/>
  <c r="C29" i="5"/>
  <c r="C28" i="5"/>
  <c r="C27" i="5"/>
  <c r="C26" i="5"/>
  <c r="C25" i="5"/>
  <c r="I24" i="5"/>
  <c r="H24" i="5"/>
  <c r="G24" i="5"/>
  <c r="F24" i="5"/>
  <c r="E24" i="5"/>
  <c r="D24" i="5"/>
  <c r="C24" i="5"/>
  <c r="I23" i="5"/>
  <c r="I22" i="5"/>
  <c r="I21" i="5"/>
  <c r="I20" i="5"/>
  <c r="H23" i="5"/>
  <c r="H22" i="5"/>
  <c r="H21" i="5"/>
  <c r="H20" i="5"/>
  <c r="G23" i="5"/>
  <c r="G22" i="5"/>
  <c r="G21" i="5"/>
  <c r="G20" i="5"/>
  <c r="F23" i="5"/>
  <c r="F22" i="5"/>
  <c r="F21" i="5"/>
  <c r="F20" i="5"/>
  <c r="E23" i="5"/>
  <c r="E22" i="5"/>
  <c r="E21" i="5"/>
  <c r="E20" i="5"/>
  <c r="D23" i="5"/>
  <c r="D22" i="5"/>
  <c r="D21" i="5"/>
  <c r="D20" i="5"/>
  <c r="C23" i="5"/>
  <c r="C22" i="5"/>
  <c r="C21" i="5"/>
  <c r="C20" i="5"/>
  <c r="I19" i="5"/>
  <c r="H19" i="5"/>
  <c r="G19" i="5"/>
  <c r="F19" i="5"/>
  <c r="E19" i="5"/>
  <c r="D19" i="5"/>
  <c r="C19" i="5"/>
  <c r="I18" i="5"/>
  <c r="H18" i="5"/>
  <c r="G18" i="5"/>
  <c r="F18" i="5"/>
  <c r="E18" i="5"/>
  <c r="D18" i="5"/>
  <c r="C18" i="5"/>
  <c r="I17" i="5"/>
  <c r="H17" i="5"/>
  <c r="G17" i="5"/>
  <c r="F17" i="5"/>
  <c r="E17" i="5"/>
  <c r="D17" i="5"/>
  <c r="C17" i="5"/>
  <c r="I16" i="5"/>
  <c r="H16" i="5"/>
  <c r="G16" i="5"/>
  <c r="F16" i="5"/>
  <c r="E16" i="5"/>
  <c r="D16" i="5"/>
  <c r="C16" i="5"/>
  <c r="I15" i="5"/>
  <c r="H15" i="5"/>
  <c r="G15" i="5"/>
  <c r="F15" i="5"/>
  <c r="E15" i="5"/>
  <c r="D15" i="5"/>
  <c r="C15" i="5"/>
  <c r="I14" i="5"/>
  <c r="H14" i="5"/>
  <c r="G14" i="5"/>
  <c r="F14" i="5"/>
  <c r="E14" i="5"/>
  <c r="D14" i="5"/>
  <c r="C14" i="5"/>
  <c r="I13" i="5"/>
  <c r="H13" i="5"/>
  <c r="G13" i="5"/>
  <c r="F13" i="5"/>
  <c r="E13" i="5"/>
  <c r="D13" i="5"/>
  <c r="C13" i="5"/>
  <c r="I12" i="5"/>
  <c r="H12" i="5"/>
  <c r="G12" i="5"/>
  <c r="F12" i="5"/>
  <c r="E12" i="5"/>
  <c r="D12" i="5"/>
  <c r="I11" i="5"/>
  <c r="H11" i="5"/>
  <c r="G11" i="5"/>
  <c r="F11" i="5"/>
  <c r="E11" i="5"/>
  <c r="D11" i="5"/>
  <c r="C12" i="5"/>
  <c r="C11" i="5"/>
  <c r="I10" i="5"/>
  <c r="H10" i="5"/>
  <c r="G10" i="5"/>
  <c r="F10" i="5"/>
  <c r="E10" i="5"/>
  <c r="D10" i="5"/>
  <c r="C10" i="5"/>
  <c r="I9" i="5"/>
  <c r="H9" i="5"/>
  <c r="G9" i="5"/>
  <c r="F9" i="5"/>
  <c r="E9" i="5"/>
  <c r="D9" i="5"/>
  <c r="C9" i="5"/>
  <c r="H62" i="5" l="1"/>
  <c r="C64" i="5"/>
  <c r="D62" i="5"/>
  <c r="E63" i="5"/>
  <c r="D63" i="5"/>
  <c r="I62" i="5"/>
  <c r="E64" i="5"/>
  <c r="C63" i="5"/>
  <c r="F62" i="5"/>
  <c r="G62" i="5"/>
  <c r="C62" i="5"/>
  <c r="F64" i="5"/>
  <c r="F63" i="5"/>
  <c r="G64" i="5"/>
  <c r="G63" i="5"/>
  <c r="H64" i="5"/>
  <c r="H63" i="5"/>
  <c r="I64" i="5"/>
  <c r="I63" i="5"/>
  <c r="E62" i="5"/>
  <c r="D64" i="5"/>
  <c r="J59" i="5"/>
  <c r="J61" i="5"/>
  <c r="J60" i="5"/>
  <c r="J11" i="5"/>
  <c r="J9" i="5"/>
  <c r="J43" i="5"/>
  <c r="J45" i="5"/>
  <c r="J44" i="5"/>
  <c r="J42" i="5"/>
  <c r="J38" i="5"/>
  <c r="J37" i="5"/>
  <c r="J36" i="5"/>
  <c r="J35" i="5"/>
  <c r="J34" i="5"/>
  <c r="J32" i="5"/>
  <c r="J26" i="5"/>
  <c r="J25" i="5"/>
  <c r="J33" i="5"/>
  <c r="J31" i="5"/>
  <c r="J30" i="5"/>
  <c r="J29" i="5"/>
  <c r="J28" i="5"/>
  <c r="J27" i="5"/>
  <c r="J24" i="5"/>
  <c r="J22" i="5"/>
  <c r="J21" i="5"/>
  <c r="J20" i="5"/>
  <c r="J23" i="5"/>
  <c r="J19" i="5"/>
  <c r="J18" i="5"/>
  <c r="J16" i="5"/>
  <c r="J17" i="5"/>
  <c r="J15" i="5"/>
  <c r="J14" i="5"/>
  <c r="J13" i="5"/>
  <c r="J12" i="5"/>
  <c r="J10" i="5"/>
  <c r="I8" i="5"/>
  <c r="H8" i="5"/>
  <c r="G8" i="5"/>
  <c r="F8" i="5"/>
  <c r="E8" i="5"/>
  <c r="D8" i="5"/>
  <c r="C8" i="5"/>
  <c r="I7" i="5"/>
  <c r="H7" i="5"/>
  <c r="G7" i="5"/>
  <c r="F7" i="5"/>
  <c r="E7" i="5"/>
  <c r="D7" i="5"/>
  <c r="C7" i="5"/>
  <c r="I6" i="5"/>
  <c r="H6" i="5"/>
  <c r="G6" i="5"/>
  <c r="F6" i="5"/>
  <c r="E6" i="5"/>
  <c r="D6" i="5"/>
  <c r="C6" i="5"/>
  <c r="I5" i="5"/>
  <c r="H5" i="5"/>
  <c r="G5" i="5"/>
  <c r="F5" i="5"/>
  <c r="E5" i="5"/>
  <c r="D5" i="5"/>
  <c r="C5" i="5"/>
  <c r="I4" i="5"/>
  <c r="H4" i="5"/>
  <c r="G4" i="5"/>
  <c r="F4" i="5"/>
  <c r="E4" i="5"/>
  <c r="D4" i="5"/>
  <c r="C4" i="5"/>
  <c r="I3" i="5"/>
  <c r="H3" i="5"/>
  <c r="G3" i="5"/>
  <c r="F3" i="5"/>
  <c r="E3" i="5"/>
  <c r="D3" i="5"/>
  <c r="C3" i="5"/>
  <c r="I2" i="5"/>
  <c r="Q21" i="5" s="1"/>
  <c r="H2" i="5"/>
  <c r="P44" i="5" s="1"/>
  <c r="G2" i="5"/>
  <c r="F2" i="5"/>
  <c r="N61" i="5" s="1"/>
  <c r="E2" i="5"/>
  <c r="M37" i="5" s="1"/>
  <c r="D2" i="5"/>
  <c r="L62" i="5" s="1"/>
  <c r="C2" i="5"/>
  <c r="K11" i="5" s="1"/>
  <c r="J63" i="5" l="1"/>
  <c r="J64" i="5"/>
  <c r="J62" i="5"/>
  <c r="L60" i="5"/>
  <c r="L64" i="5"/>
  <c r="P62" i="5"/>
  <c r="K4" i="5"/>
  <c r="Q64" i="5"/>
  <c r="P64" i="5"/>
  <c r="O62" i="5"/>
  <c r="N62" i="5"/>
  <c r="P15" i="5"/>
  <c r="K63" i="5"/>
  <c r="O63" i="5"/>
  <c r="L63" i="5"/>
  <c r="M62" i="5"/>
  <c r="N64" i="5"/>
  <c r="K64" i="5"/>
  <c r="O64" i="5"/>
  <c r="M63" i="5"/>
  <c r="Q62" i="5"/>
  <c r="Q63" i="5"/>
  <c r="K62" i="5"/>
  <c r="P63" i="5"/>
  <c r="N63" i="5"/>
  <c r="M64" i="5"/>
  <c r="O45" i="5"/>
  <c r="M45" i="5"/>
  <c r="O28" i="5"/>
  <c r="M61" i="5"/>
  <c r="L13" i="5"/>
  <c r="M3" i="5"/>
  <c r="N4" i="5"/>
  <c r="O5" i="5"/>
  <c r="P6" i="5"/>
  <c r="N22" i="5"/>
  <c r="K19" i="5"/>
  <c r="K61" i="5"/>
  <c r="N59" i="5"/>
  <c r="O60" i="5"/>
  <c r="M35" i="5"/>
  <c r="O4" i="5"/>
  <c r="P5" i="5"/>
  <c r="K8" i="5"/>
  <c r="M25" i="5"/>
  <c r="P61" i="5"/>
  <c r="K59" i="5"/>
  <c r="N13" i="5"/>
  <c r="P21" i="5"/>
  <c r="N42" i="5"/>
  <c r="N38" i="5"/>
  <c r="M60" i="5"/>
  <c r="O59" i="5"/>
  <c r="N31" i="5"/>
  <c r="K44" i="5"/>
  <c r="Q61" i="5"/>
  <c r="M59" i="5"/>
  <c r="K60" i="5"/>
  <c r="K32" i="5"/>
  <c r="N34" i="5"/>
  <c r="O23" i="5"/>
  <c r="P29" i="5"/>
  <c r="N60" i="5"/>
  <c r="P60" i="5"/>
  <c r="Q59" i="5"/>
  <c r="P38" i="5"/>
  <c r="O20" i="5"/>
  <c r="P59" i="5"/>
  <c r="L61" i="5"/>
  <c r="L59" i="5"/>
  <c r="P27" i="5"/>
  <c r="K27" i="5"/>
  <c r="K24" i="5"/>
  <c r="Q60" i="5"/>
  <c r="O61" i="5"/>
  <c r="Q7" i="5"/>
  <c r="L29" i="5"/>
  <c r="L43" i="5"/>
  <c r="K17" i="5"/>
  <c r="L36" i="5"/>
  <c r="N37" i="5"/>
  <c r="O26" i="5"/>
  <c r="P19" i="5"/>
  <c r="M30" i="5"/>
  <c r="N19" i="5"/>
  <c r="P26" i="5"/>
  <c r="L44" i="5"/>
  <c r="P32" i="5"/>
  <c r="Q23" i="5"/>
  <c r="P43" i="5"/>
  <c r="N45" i="5"/>
  <c r="M34" i="5"/>
  <c r="P24" i="5"/>
  <c r="L42" i="5"/>
  <c r="Q29" i="5"/>
  <c r="M21" i="5"/>
  <c r="M44" i="5"/>
  <c r="N43" i="5"/>
  <c r="M32" i="5"/>
  <c r="Q20" i="5"/>
  <c r="Q19" i="5"/>
  <c r="K37" i="5"/>
  <c r="Q6" i="5"/>
  <c r="K42" i="5"/>
  <c r="M43" i="5"/>
  <c r="O35" i="5"/>
  <c r="M23" i="5"/>
  <c r="M42" i="5"/>
  <c r="O22" i="5"/>
  <c r="Q37" i="5"/>
  <c r="M27" i="5"/>
  <c r="O30" i="5"/>
  <c r="K35" i="5"/>
  <c r="O3" i="5"/>
  <c r="P4" i="5"/>
  <c r="Q5" i="5"/>
  <c r="Q14" i="5"/>
  <c r="K21" i="5"/>
  <c r="K26" i="5"/>
  <c r="P42" i="5"/>
  <c r="L33" i="5"/>
  <c r="N21" i="5"/>
  <c r="P23" i="5"/>
  <c r="P36" i="5"/>
  <c r="N26" i="5"/>
  <c r="P30" i="5"/>
  <c r="Q28" i="5"/>
  <c r="K23" i="5"/>
  <c r="N25" i="5"/>
  <c r="M31" i="5"/>
  <c r="M22" i="5"/>
  <c r="O37" i="5"/>
  <c r="Q25" i="5"/>
  <c r="L24" i="5"/>
  <c r="N28" i="5"/>
  <c r="M38" i="5"/>
  <c r="K36" i="5"/>
  <c r="Q33" i="5"/>
  <c r="O12" i="5"/>
  <c r="K22" i="5"/>
  <c r="K43" i="5"/>
  <c r="P31" i="5"/>
  <c r="L21" i="5"/>
  <c r="N36" i="5"/>
  <c r="L25" i="5"/>
  <c r="M24" i="5"/>
  <c r="O27" i="5"/>
  <c r="M19" i="5"/>
  <c r="L22" i="5"/>
  <c r="K30" i="5"/>
  <c r="L19" i="5"/>
  <c r="P34" i="5"/>
  <c r="K31" i="5"/>
  <c r="Q36" i="5"/>
  <c r="L27" i="5"/>
  <c r="N29" i="5"/>
  <c r="K34" i="5"/>
  <c r="Q22" i="5"/>
  <c r="Q30" i="5"/>
  <c r="O14" i="5"/>
  <c r="K20" i="5"/>
  <c r="K25" i="5"/>
  <c r="L38" i="5"/>
  <c r="L34" i="5"/>
  <c r="O29" i="5"/>
  <c r="L30" i="5"/>
  <c r="Q31" i="5"/>
  <c r="O32" i="5"/>
  <c r="M20" i="5"/>
  <c r="Q42" i="5"/>
  <c r="P14" i="5"/>
  <c r="O9" i="5"/>
  <c r="N30" i="5"/>
  <c r="O19" i="5"/>
  <c r="O44" i="5"/>
  <c r="M36" i="5"/>
  <c r="P20" i="5"/>
  <c r="P35" i="5"/>
  <c r="M26" i="5"/>
  <c r="Q35" i="5"/>
  <c r="Q38" i="5"/>
  <c r="P28" i="5"/>
  <c r="Q43" i="5"/>
  <c r="P33" i="5"/>
  <c r="O24" i="5"/>
  <c r="M28" i="5"/>
  <c r="O36" i="5"/>
  <c r="P25" i="5"/>
  <c r="P22" i="5"/>
  <c r="L37" i="5"/>
  <c r="P10" i="5"/>
  <c r="M29" i="5"/>
  <c r="M33" i="5"/>
  <c r="L45" i="5"/>
  <c r="Q32" i="5"/>
  <c r="N20" i="5"/>
  <c r="Q45" i="5"/>
  <c r="N35" i="5"/>
  <c r="K33" i="5"/>
  <c r="L32" i="5"/>
  <c r="O38" i="5"/>
  <c r="N27" i="5"/>
  <c r="Q26" i="5"/>
  <c r="N44" i="5"/>
  <c r="N32" i="5"/>
  <c r="N23" i="5"/>
  <c r="O34" i="5"/>
  <c r="K29" i="5"/>
  <c r="N33" i="5"/>
  <c r="Q12" i="5"/>
  <c r="K9" i="5"/>
  <c r="P37" i="5"/>
  <c r="Q27" i="5"/>
  <c r="L28" i="5"/>
  <c r="O42" i="5"/>
  <c r="O31" i="5"/>
  <c r="L20" i="5"/>
  <c r="L35" i="5"/>
  <c r="O43" i="5"/>
  <c r="Q24" i="5"/>
  <c r="K28" i="5"/>
  <c r="Q44" i="5"/>
  <c r="Q34" i="5"/>
  <c r="L26" i="5"/>
  <c r="L23" i="5"/>
  <c r="K45" i="5"/>
  <c r="L31" i="5"/>
  <c r="O21" i="5"/>
  <c r="P45" i="5"/>
  <c r="O33" i="5"/>
  <c r="N24" i="5"/>
  <c r="O25" i="5"/>
  <c r="K38" i="5"/>
  <c r="M18" i="5"/>
  <c r="M9" i="5"/>
  <c r="M17" i="5"/>
  <c r="K7" i="5"/>
  <c r="K13" i="5"/>
  <c r="Q15" i="5"/>
  <c r="N15" i="5"/>
  <c r="L15" i="5"/>
  <c r="N16" i="5"/>
  <c r="O18" i="5"/>
  <c r="O17" i="5"/>
  <c r="O16" i="5"/>
  <c r="P3" i="5"/>
  <c r="Q4" i="5"/>
  <c r="K6" i="5"/>
  <c r="L7" i="5"/>
  <c r="M8" i="5"/>
  <c r="M14" i="5"/>
  <c r="O10" i="5"/>
  <c r="O11" i="5"/>
  <c r="N3" i="5"/>
  <c r="L8" i="5"/>
  <c r="P18" i="5"/>
  <c r="P17" i="5"/>
  <c r="Q3" i="5"/>
  <c r="K5" i="5"/>
  <c r="L6" i="5"/>
  <c r="M7" i="5"/>
  <c r="N8" i="5"/>
  <c r="K14" i="5"/>
  <c r="O13" i="5"/>
  <c r="M12" i="5"/>
  <c r="K15" i="5"/>
  <c r="K16" i="5"/>
  <c r="K12" i="5"/>
  <c r="L18" i="5"/>
  <c r="L11" i="5"/>
  <c r="L10" i="5"/>
  <c r="N10" i="5"/>
  <c r="N18" i="5"/>
  <c r="N17" i="5"/>
  <c r="N9" i="5"/>
  <c r="N11" i="5"/>
  <c r="M6" i="5"/>
  <c r="N7" i="5"/>
  <c r="O8" i="5"/>
  <c r="N12" i="5"/>
  <c r="O15" i="5"/>
  <c r="L16" i="5"/>
  <c r="M10" i="5"/>
  <c r="P16" i="5"/>
  <c r="L17" i="5"/>
  <c r="L12" i="5"/>
  <c r="L14" i="5"/>
  <c r="L9" i="5"/>
  <c r="M16" i="5"/>
  <c r="Q11" i="5"/>
  <c r="Q10" i="5"/>
  <c r="Q18" i="5"/>
  <c r="Q17" i="5"/>
  <c r="Q16" i="5"/>
  <c r="L5" i="5"/>
  <c r="K3" i="5"/>
  <c r="L4" i="5"/>
  <c r="M5" i="5"/>
  <c r="N6" i="5"/>
  <c r="O7" i="5"/>
  <c r="P8" i="5"/>
  <c r="Q13" i="5"/>
  <c r="N14" i="5"/>
  <c r="M15" i="5"/>
  <c r="Q9" i="5"/>
  <c r="K18" i="5"/>
  <c r="K10" i="5"/>
  <c r="L3" i="5"/>
  <c r="M4" i="5"/>
  <c r="N5" i="5"/>
  <c r="O6" i="5"/>
  <c r="P7" i="5"/>
  <c r="Q8" i="5"/>
  <c r="P13" i="5"/>
  <c r="M13" i="5"/>
  <c r="P12" i="5"/>
  <c r="M11" i="5"/>
  <c r="P9" i="5"/>
  <c r="P11" i="5"/>
  <c r="J3" i="5"/>
  <c r="J8" i="5"/>
  <c r="J7" i="5"/>
  <c r="J6" i="5"/>
  <c r="J5" i="5"/>
  <c r="J4" i="5"/>
  <c r="J2" i="5"/>
  <c r="R62" i="5" s="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1" i="1"/>
  <c r="X202" i="1"/>
  <c r="X203" i="1"/>
  <c r="X204" i="1"/>
  <c r="X205" i="1"/>
  <c r="X206" i="1"/>
  <c r="X207" i="1"/>
  <c r="X208" i="1"/>
  <c r="X209" i="1"/>
  <c r="X210" i="1"/>
  <c r="X2" i="1"/>
  <c r="I58" i="5" l="1"/>
  <c r="Q58" i="5" s="1"/>
  <c r="I57" i="5"/>
  <c r="Q57" i="5" s="1"/>
  <c r="I56" i="5"/>
  <c r="Q56" i="5" s="1"/>
  <c r="F48" i="5"/>
  <c r="N48" i="5" s="1"/>
  <c r="F47" i="5"/>
  <c r="N47" i="5" s="1"/>
  <c r="F46" i="5"/>
  <c r="N46" i="5" s="1"/>
  <c r="E53" i="5"/>
  <c r="M53" i="5" s="1"/>
  <c r="E52" i="5"/>
  <c r="M52" i="5" s="1"/>
  <c r="E51" i="5"/>
  <c r="M51" i="5" s="1"/>
  <c r="F53" i="5"/>
  <c r="N53" i="5" s="1"/>
  <c r="F52" i="5"/>
  <c r="N52" i="5" s="1"/>
  <c r="F51" i="5"/>
  <c r="N51" i="5" s="1"/>
  <c r="E58" i="5"/>
  <c r="M58" i="5" s="1"/>
  <c r="E57" i="5"/>
  <c r="M57" i="5" s="1"/>
  <c r="E56" i="5"/>
  <c r="M56" i="5" s="1"/>
  <c r="E48" i="5"/>
  <c r="M48" i="5" s="1"/>
  <c r="E47" i="5"/>
  <c r="M47" i="5" s="1"/>
  <c r="E46" i="5"/>
  <c r="M46" i="5" s="1"/>
  <c r="R7" i="5"/>
  <c r="G47" i="5"/>
  <c r="O47" i="5" s="1"/>
  <c r="G46" i="5"/>
  <c r="O46" i="5" s="1"/>
  <c r="G48" i="5"/>
  <c r="O48" i="5" s="1"/>
  <c r="G53" i="5"/>
  <c r="O53" i="5" s="1"/>
  <c r="G52" i="5"/>
  <c r="O52" i="5" s="1"/>
  <c r="G51" i="5"/>
  <c r="O51" i="5" s="1"/>
  <c r="G58" i="5"/>
  <c r="O58" i="5" s="1"/>
  <c r="G57" i="5"/>
  <c r="O57" i="5" s="1"/>
  <c r="G56" i="5"/>
  <c r="O56" i="5" s="1"/>
  <c r="F58" i="5"/>
  <c r="N58" i="5" s="1"/>
  <c r="F57" i="5"/>
  <c r="N57" i="5" s="1"/>
  <c r="F56" i="5"/>
  <c r="N56" i="5" s="1"/>
  <c r="D58" i="5"/>
  <c r="L58" i="5" s="1"/>
  <c r="D57" i="5"/>
  <c r="L57" i="5" s="1"/>
  <c r="D56" i="5"/>
  <c r="L56" i="5" s="1"/>
  <c r="C53" i="5"/>
  <c r="K53" i="5" s="1"/>
  <c r="C52" i="5"/>
  <c r="K52" i="5" s="1"/>
  <c r="C51" i="5"/>
  <c r="K51" i="5" s="1"/>
  <c r="J53" i="5"/>
  <c r="R53" i="5" s="1"/>
  <c r="J52" i="5"/>
  <c r="J51" i="5"/>
  <c r="R51" i="5" s="1"/>
  <c r="C58" i="5"/>
  <c r="K58" i="5" s="1"/>
  <c r="C57" i="5"/>
  <c r="K57" i="5" s="1"/>
  <c r="C56" i="5"/>
  <c r="K56" i="5" s="1"/>
  <c r="J58" i="5"/>
  <c r="J57" i="5"/>
  <c r="J56" i="5"/>
  <c r="C48" i="5"/>
  <c r="C46" i="5"/>
  <c r="C47" i="5"/>
  <c r="H47" i="5"/>
  <c r="P47" i="5" s="1"/>
  <c r="H46" i="5"/>
  <c r="P46" i="5" s="1"/>
  <c r="H48" i="5"/>
  <c r="P48" i="5" s="1"/>
  <c r="H53" i="5"/>
  <c r="P53" i="5" s="1"/>
  <c r="H52" i="5"/>
  <c r="P52" i="5" s="1"/>
  <c r="H51" i="5"/>
  <c r="P51" i="5" s="1"/>
  <c r="D47" i="5"/>
  <c r="L47" i="5" s="1"/>
  <c r="D46" i="5"/>
  <c r="L46" i="5" s="1"/>
  <c r="D48" i="5"/>
  <c r="L48" i="5" s="1"/>
  <c r="I47" i="5"/>
  <c r="Q47" i="5" s="1"/>
  <c r="I46" i="5"/>
  <c r="Q46" i="5" s="1"/>
  <c r="I48" i="5"/>
  <c r="Q48" i="5" s="1"/>
  <c r="D53" i="5"/>
  <c r="L53" i="5" s="1"/>
  <c r="D52" i="5"/>
  <c r="L52" i="5" s="1"/>
  <c r="D51" i="5"/>
  <c r="L51" i="5" s="1"/>
  <c r="I53" i="5"/>
  <c r="Q53" i="5" s="1"/>
  <c r="I52" i="5"/>
  <c r="Q52" i="5" s="1"/>
  <c r="I51" i="5"/>
  <c r="Q51" i="5" s="1"/>
  <c r="H58" i="5"/>
  <c r="P58" i="5" s="1"/>
  <c r="H57" i="5"/>
  <c r="P57" i="5" s="1"/>
  <c r="H56" i="5"/>
  <c r="P56" i="5" s="1"/>
  <c r="R63" i="5"/>
  <c r="R45" i="5"/>
  <c r="R59" i="5"/>
  <c r="R64" i="5"/>
  <c r="R25" i="5"/>
  <c r="R52" i="5"/>
  <c r="R56" i="5"/>
  <c r="R57" i="5"/>
  <c r="R58" i="5"/>
  <c r="R14" i="5"/>
  <c r="R43" i="5"/>
  <c r="R19" i="5"/>
  <c r="R28" i="5"/>
  <c r="R60" i="5"/>
  <c r="R23" i="5"/>
  <c r="R31" i="5"/>
  <c r="R5" i="5"/>
  <c r="R10" i="5"/>
  <c r="R22" i="5"/>
  <c r="R61" i="5"/>
  <c r="R33" i="5"/>
  <c r="R8" i="5"/>
  <c r="R17" i="5"/>
  <c r="R35" i="5"/>
  <c r="R37" i="5"/>
  <c r="R3" i="5"/>
  <c r="R16" i="5"/>
  <c r="R30" i="5"/>
  <c r="R34" i="5"/>
  <c r="R26" i="5"/>
  <c r="R21" i="5"/>
  <c r="R29" i="5"/>
  <c r="R44" i="5"/>
  <c r="R27" i="5"/>
  <c r="R42" i="5"/>
  <c r="R20" i="5"/>
  <c r="R38" i="5"/>
  <c r="R36" i="5"/>
  <c r="R24" i="5"/>
  <c r="R4" i="5"/>
  <c r="R32" i="5"/>
  <c r="M2" i="5"/>
  <c r="R11" i="5"/>
  <c r="R9" i="5"/>
  <c r="R18" i="5"/>
  <c r="R12" i="5"/>
  <c r="R15" i="5"/>
  <c r="R13" i="5"/>
  <c r="R6" i="5"/>
  <c r="L2" i="5"/>
  <c r="Q2" i="5"/>
  <c r="K2" i="5"/>
  <c r="P2" i="5"/>
  <c r="O2" i="5"/>
  <c r="N2" i="5"/>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 i="1"/>
  <c r="C39" i="5" l="1"/>
  <c r="C40" i="5"/>
  <c r="C41" i="5"/>
  <c r="D39" i="5"/>
  <c r="L39" i="5" s="1"/>
  <c r="D40" i="5"/>
  <c r="L40" i="5" s="1"/>
  <c r="D41" i="5"/>
  <c r="L41" i="5" s="1"/>
  <c r="H39" i="5"/>
  <c r="P39" i="5" s="1"/>
  <c r="H40" i="5"/>
  <c r="P40" i="5" s="1"/>
  <c r="H41" i="5"/>
  <c r="P41" i="5" s="1"/>
  <c r="I39" i="5"/>
  <c r="Q39" i="5" s="1"/>
  <c r="I40" i="5"/>
  <c r="Q40" i="5" s="1"/>
  <c r="I41" i="5"/>
  <c r="Q41" i="5" s="1"/>
  <c r="E39" i="5"/>
  <c r="M39" i="5" s="1"/>
  <c r="E40" i="5"/>
  <c r="M40" i="5" s="1"/>
  <c r="E41" i="5"/>
  <c r="M41" i="5" s="1"/>
  <c r="J47" i="5"/>
  <c r="R47" i="5" s="1"/>
  <c r="K47" i="5"/>
  <c r="F40" i="5"/>
  <c r="N40" i="5" s="1"/>
  <c r="F41" i="5"/>
  <c r="N41" i="5" s="1"/>
  <c r="F39" i="5"/>
  <c r="N39" i="5" s="1"/>
  <c r="J46" i="5"/>
  <c r="R46" i="5" s="1"/>
  <c r="K46" i="5"/>
  <c r="G41" i="5"/>
  <c r="O41" i="5" s="1"/>
  <c r="G39" i="5"/>
  <c r="O39" i="5" s="1"/>
  <c r="G40" i="5"/>
  <c r="O40" i="5" s="1"/>
  <c r="J48" i="5"/>
  <c r="R48" i="5" s="1"/>
  <c r="K48" i="5"/>
  <c r="R2" i="5"/>
  <c r="AB210" i="1"/>
  <c r="J40" i="5" l="1"/>
  <c r="R40" i="5" s="1"/>
  <c r="K40" i="5"/>
  <c r="J39" i="5"/>
  <c r="R39" i="5" s="1"/>
  <c r="K39" i="5"/>
  <c r="J41" i="5"/>
  <c r="R41" i="5" s="1"/>
  <c r="K41" i="5"/>
  <c r="AB207" i="1"/>
  <c r="AB208" i="1"/>
  <c r="AB209" i="1"/>
  <c r="AB206" i="1" l="1"/>
  <c r="AB205" i="1"/>
  <c r="AB204" i="1" l="1"/>
  <c r="AB203" i="1" l="1"/>
  <c r="AB202" i="1" l="1"/>
  <c r="AB2" i="1" l="1"/>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alcChain>
</file>

<file path=xl/comments1.xml><?xml version="1.0" encoding="utf-8"?>
<comments xmlns="http://schemas.openxmlformats.org/spreadsheetml/2006/main">
  <authors>
    <author>Author</author>
  </authors>
  <commentList>
    <comment ref="B6" authorId="0" shapeId="0">
      <text>
        <r>
          <rPr>
            <b/>
            <sz val="9"/>
            <color indexed="81"/>
            <rFont val="Tahoma"/>
            <family val="2"/>
          </rPr>
          <t>Author:</t>
        </r>
        <r>
          <rPr>
            <sz val="9"/>
            <color indexed="81"/>
            <rFont val="Tahoma"/>
            <family val="2"/>
          </rPr>
          <t xml:space="preserve">
includes QLD and WA</t>
        </r>
      </text>
    </comment>
    <comment ref="H6" authorId="0" shapeId="0">
      <text>
        <r>
          <rPr>
            <b/>
            <sz val="9"/>
            <color indexed="81"/>
            <rFont val="Tahoma"/>
            <family val="2"/>
          </rPr>
          <t>Author:</t>
        </r>
        <r>
          <rPr>
            <sz val="9"/>
            <color indexed="81"/>
            <rFont val="Tahoma"/>
            <family val="2"/>
          </rPr>
          <t xml:space="preserve">
Includes diversifications to products/services outside of tourism</t>
        </r>
      </text>
    </comment>
    <comment ref="B7" authorId="0" shapeId="0">
      <text>
        <r>
          <rPr>
            <b/>
            <sz val="9"/>
            <color indexed="81"/>
            <rFont val="Tahoma"/>
            <family val="2"/>
          </rPr>
          <t>Author:</t>
        </r>
        <r>
          <rPr>
            <sz val="9"/>
            <color indexed="81"/>
            <rFont val="Tahoma"/>
            <family val="2"/>
          </rPr>
          <t xml:space="preserve">
includes Bali &amp; Gili</t>
        </r>
      </text>
    </comment>
    <comment ref="H9" authorId="0" shapeId="0">
      <text>
        <r>
          <rPr>
            <b/>
            <sz val="9"/>
            <color indexed="81"/>
            <rFont val="Tahoma"/>
            <family val="2"/>
          </rPr>
          <t>Author:</t>
        </r>
        <r>
          <rPr>
            <sz val="9"/>
            <color indexed="81"/>
            <rFont val="Tahoma"/>
            <family val="2"/>
          </rPr>
          <t xml:space="preserve">
= c_reefs+c_activities</t>
        </r>
      </text>
    </comment>
    <comment ref="B10" authorId="0" shapeId="0">
      <text>
        <r>
          <rPr>
            <b/>
            <sz val="9"/>
            <color indexed="81"/>
            <rFont val="Tahoma"/>
            <family val="2"/>
          </rPr>
          <t>Author:</t>
        </r>
        <r>
          <rPr>
            <sz val="9"/>
            <color indexed="81"/>
            <rFont val="Tahoma"/>
            <family val="2"/>
          </rPr>
          <t xml:space="preserve">
includes Guam and Saipan</t>
        </r>
      </text>
    </comment>
    <comment ref="H10" authorId="0" shapeId="0">
      <text>
        <r>
          <rPr>
            <b/>
            <sz val="9"/>
            <color indexed="81"/>
            <rFont val="Tahoma"/>
            <family val="2"/>
          </rPr>
          <t>Author:</t>
        </r>
        <r>
          <rPr>
            <sz val="9"/>
            <color indexed="81"/>
            <rFont val="Tahoma"/>
            <family val="2"/>
          </rPr>
          <t xml:space="preserve">
Includes changes to logistics (for example the tour season), personnel, sales (for example a price change), or marketing</t>
        </r>
      </text>
    </comment>
    <comment ref="H11" authorId="0" shapeId="0">
      <text>
        <r>
          <rPr>
            <b/>
            <sz val="9"/>
            <color indexed="81"/>
            <rFont val="Tahoma"/>
            <family val="2"/>
          </rPr>
          <t>Author:</t>
        </r>
        <r>
          <rPr>
            <sz val="9"/>
            <color indexed="81"/>
            <rFont val="Tahoma"/>
            <family val="2"/>
          </rPr>
          <t xml:space="preserve">
includes enacting or participating in measures to improve the health of the coral reef (for example coral restoration) </t>
        </r>
      </text>
    </comment>
    <comment ref="H14" authorId="0" shapeId="0">
      <text>
        <r>
          <rPr>
            <b/>
            <sz val="9"/>
            <color indexed="81"/>
            <rFont val="Tahoma"/>
            <family val="2"/>
          </rPr>
          <t>Author:</t>
        </r>
        <r>
          <rPr>
            <sz val="9"/>
            <color indexed="81"/>
            <rFont val="Tahoma"/>
            <family val="2"/>
          </rPr>
          <t xml:space="preserve">
= insurance + monitor</t>
        </r>
      </text>
    </comment>
    <comment ref="B15" authorId="0" shapeId="0">
      <text>
        <r>
          <rPr>
            <b/>
            <sz val="9"/>
            <color indexed="81"/>
            <rFont val="Tahoma"/>
            <family val="2"/>
          </rPr>
          <t>Author:</t>
        </r>
        <r>
          <rPr>
            <sz val="9"/>
            <color indexed="81"/>
            <rFont val="Tahoma"/>
            <family val="2"/>
          </rPr>
          <t xml:space="preserve">
The World Bank, 2021. Worldwide Governance Indicators [WWW Document]. Governance. URL http://info.worldbank.org/governance/wgi/ (accessed 5.23.22)</t>
        </r>
      </text>
    </comment>
    <comment ref="H17" authorId="0" shapeId="0">
      <text>
        <r>
          <rPr>
            <b/>
            <sz val="9"/>
            <color indexed="81"/>
            <rFont val="Tahoma"/>
            <family val="2"/>
          </rPr>
          <t>Author:</t>
        </r>
        <r>
          <rPr>
            <sz val="9"/>
            <color indexed="81"/>
            <rFont val="Tahoma"/>
            <family val="2"/>
          </rPr>
          <t xml:space="preserve">
= sell + support</t>
        </r>
      </text>
    </comment>
    <comment ref="H18" authorId="0" shapeId="0">
      <text>
        <r>
          <rPr>
            <b/>
            <sz val="9"/>
            <color indexed="81"/>
            <rFont val="Tahoma"/>
            <family val="2"/>
          </rPr>
          <t>Author:</t>
        </r>
        <r>
          <rPr>
            <sz val="9"/>
            <color indexed="81"/>
            <rFont val="Tahoma"/>
            <family val="2"/>
          </rPr>
          <t xml:space="preserve">
includes enacting or participating in measures to reduce carbon dioxide (CO2) emissions of your company, your customers or your community</t>
        </r>
      </text>
    </comment>
    <comment ref="H19" authorId="0" shapeId="0">
      <text>
        <r>
          <rPr>
            <b/>
            <sz val="9"/>
            <color indexed="81"/>
            <rFont val="Tahoma"/>
            <family val="2"/>
          </rPr>
          <t>Author:</t>
        </r>
        <r>
          <rPr>
            <sz val="9"/>
            <color indexed="81"/>
            <rFont val="Tahoma"/>
            <family val="2"/>
          </rPr>
          <t xml:space="preserve">
This was not included in the survey but mentioned by a number of operators under 'other' responses category</t>
        </r>
      </text>
    </comment>
    <comment ref="H22" authorId="0" shapeId="0">
      <text>
        <r>
          <rPr>
            <b/>
            <sz val="9"/>
            <color indexed="81"/>
            <rFont val="Tahoma"/>
            <family val="2"/>
          </rPr>
          <t>Author:</t>
        </r>
        <r>
          <rPr>
            <sz val="9"/>
            <color indexed="81"/>
            <rFont val="Tahoma"/>
            <family val="2"/>
          </rPr>
          <t xml:space="preserve">
Includes diversifications to products/services outside of tourism</t>
        </r>
      </text>
    </comment>
    <comment ref="H25" authorId="0" shapeId="0">
      <text>
        <r>
          <rPr>
            <b/>
            <sz val="9"/>
            <color indexed="81"/>
            <rFont val="Tahoma"/>
            <family val="2"/>
          </rPr>
          <t>Author:</t>
        </r>
        <r>
          <rPr>
            <sz val="9"/>
            <color indexed="81"/>
            <rFont val="Tahoma"/>
            <family val="2"/>
          </rPr>
          <t xml:space="preserve">
Includes changes to logistics (for example the tour season), personnel, sales (for example a price change), or marketing</t>
        </r>
      </text>
    </comment>
    <comment ref="H26" authorId="0" shapeId="0">
      <text>
        <r>
          <rPr>
            <b/>
            <sz val="9"/>
            <color indexed="81"/>
            <rFont val="Tahoma"/>
            <family val="2"/>
          </rPr>
          <t>Author:</t>
        </r>
        <r>
          <rPr>
            <sz val="9"/>
            <color indexed="81"/>
            <rFont val="Tahoma"/>
            <family val="2"/>
          </rPr>
          <t xml:space="preserve">
includes enacting or participating in measures to improve the health of the coral reef (for example coral restoration) </t>
        </r>
      </text>
    </comment>
    <comment ref="B27" authorId="0" shapeId="0">
      <text>
        <r>
          <rPr>
            <b/>
            <sz val="9"/>
            <color indexed="81"/>
            <rFont val="Tahoma"/>
            <family val="2"/>
          </rPr>
          <t>Author:</t>
        </r>
        <r>
          <rPr>
            <sz val="9"/>
            <color indexed="81"/>
            <rFont val="Tahoma"/>
            <family val="2"/>
          </rPr>
          <t xml:space="preserve">
When there are two consecutive disturbances, I pick the highest percentage of any of the two events</t>
        </r>
      </text>
    </comment>
    <comment ref="H29" authorId="0" shapeId="0">
      <text>
        <r>
          <rPr>
            <b/>
            <sz val="9"/>
            <color indexed="81"/>
            <rFont val="Tahoma"/>
            <family val="2"/>
          </rPr>
          <t>Author:</t>
        </r>
        <r>
          <rPr>
            <sz val="9"/>
            <color indexed="81"/>
            <rFont val="Tahoma"/>
            <family val="2"/>
          </rPr>
          <t xml:space="preserve">
Includes selling property (for example boats, equipment, office); reducing workforce or relying on savings and seeking support from government, local community and/or relatives</t>
        </r>
      </text>
    </comment>
    <comment ref="H30" authorId="0" shapeId="0">
      <text>
        <r>
          <rPr>
            <b/>
            <sz val="9"/>
            <color indexed="81"/>
            <rFont val="Tahoma"/>
            <family val="2"/>
          </rPr>
          <t>Author:</t>
        </r>
        <r>
          <rPr>
            <sz val="9"/>
            <color indexed="81"/>
            <rFont val="Tahoma"/>
            <family val="2"/>
          </rPr>
          <t xml:space="preserve">
includes enacting or participating in measures to reduce carbon dioxide (CO2) emissions of your company, your customers or your community</t>
        </r>
      </text>
    </comment>
  </commentList>
</comments>
</file>

<file path=xl/comments2.xml><?xml version="1.0" encoding="utf-8"?>
<comments xmlns="http://schemas.openxmlformats.org/spreadsheetml/2006/main">
  <authors>
    <author>Author</author>
  </authors>
  <commentList>
    <comment ref="AL64" authorId="0" shapeId="0">
      <text>
        <r>
          <rPr>
            <b/>
            <sz val="9"/>
            <color indexed="81"/>
            <rFont val="Tahoma"/>
            <family val="2"/>
          </rPr>
          <t>Author:</t>
        </r>
        <r>
          <rPr>
            <sz val="9"/>
            <color indexed="81"/>
            <rFont val="Tahoma"/>
            <family val="2"/>
          </rPr>
          <t xml:space="preserve">
"Whilst we have answered YES to questions above, we were already leading the way with our sustainability efforts and indigenous connections before T.C. Debbie. The months after we simply stepped up our efforts"</t>
        </r>
      </text>
    </comment>
    <comment ref="AL68" authorId="0" shapeId="0">
      <text>
        <r>
          <rPr>
            <b/>
            <sz val="9"/>
            <color indexed="81"/>
            <rFont val="Tahoma"/>
            <family val="2"/>
          </rPr>
          <t>Author:</t>
        </r>
        <r>
          <rPr>
            <sz val="9"/>
            <color indexed="81"/>
            <rFont val="Tahoma"/>
            <family val="2"/>
          </rPr>
          <t xml:space="preserve">
manuel override excel code because operator selected 'other' as primary response but only responded using transformative change</t>
        </r>
      </text>
    </comment>
    <comment ref="AL86" authorId="0" shapeId="0">
      <text>
        <r>
          <rPr>
            <b/>
            <sz val="9"/>
            <color indexed="81"/>
            <rFont val="Tahoma"/>
            <family val="2"/>
          </rPr>
          <t>Author:</t>
        </r>
        <r>
          <rPr>
            <sz val="9"/>
            <color indexed="81"/>
            <rFont val="Tahoma"/>
            <family val="2"/>
          </rPr>
          <t xml:space="preserve">
manuel override excel code because operator selected 'other' as primary response but that only included sending some photos of the bleaching</t>
        </r>
      </text>
    </comment>
    <comment ref="AL88" authorId="0" shapeId="0">
      <text>
        <r>
          <rPr>
            <b/>
            <sz val="9"/>
            <color indexed="81"/>
            <rFont val="Tahoma"/>
            <family val="2"/>
          </rPr>
          <t>Author:</t>
        </r>
        <r>
          <rPr>
            <sz val="9"/>
            <color indexed="81"/>
            <rFont val="Tahoma"/>
            <family val="2"/>
          </rPr>
          <t xml:space="preserve">
manuel override excel code because operator didn’t select primary response but only responded using transformative change</t>
        </r>
      </text>
    </comment>
    <comment ref="AL92" authorId="0" shapeId="0">
      <text>
        <r>
          <rPr>
            <b/>
            <sz val="9"/>
            <color indexed="81"/>
            <rFont val="Tahoma"/>
            <family val="2"/>
          </rPr>
          <t>Author:</t>
        </r>
        <r>
          <rPr>
            <sz val="9"/>
            <color indexed="81"/>
            <rFont val="Tahoma"/>
            <family val="2"/>
          </rPr>
          <t xml:space="preserve">
manuel override excel code because operator selected 'other' as primary response but that included mainly beginning of reef monitoring activities (see Powerpoint)</t>
        </r>
      </text>
    </comment>
    <comment ref="AL101" authorId="0" shapeId="0">
      <text>
        <r>
          <rPr>
            <b/>
            <sz val="9"/>
            <color indexed="81"/>
            <rFont val="Tahoma"/>
            <family val="2"/>
          </rPr>
          <t>Author:</t>
        </r>
        <r>
          <rPr>
            <sz val="9"/>
            <color indexed="81"/>
            <rFont val="Tahoma"/>
            <family val="2"/>
          </rPr>
          <t xml:space="preserve">
manuel override excel code because operator selected 'other' as primary response but only responded using transformative change</t>
        </r>
      </text>
    </comment>
    <comment ref="AL160" authorId="0" shapeId="0">
      <text>
        <r>
          <rPr>
            <b/>
            <sz val="9"/>
            <color indexed="81"/>
            <rFont val="Tahoma"/>
            <family val="2"/>
          </rPr>
          <t>Author:</t>
        </r>
        <r>
          <rPr>
            <sz val="9"/>
            <color indexed="81"/>
            <rFont val="Tahoma"/>
            <family val="2"/>
          </rPr>
          <t xml:space="preserve">
manually override ‘other’ as primary response to ‘nrm’ and ‘transformative’ because all their responses were in transformative category </t>
        </r>
      </text>
    </comment>
    <comment ref="AL183" authorId="0" shapeId="0">
      <text>
        <r>
          <rPr>
            <b/>
            <sz val="9"/>
            <color indexed="81"/>
            <rFont val="Tahoma"/>
            <family val="2"/>
          </rPr>
          <t>Author:</t>
        </r>
        <r>
          <rPr>
            <sz val="9"/>
            <color indexed="81"/>
            <rFont val="Tahoma"/>
            <family val="2"/>
          </rPr>
          <t xml:space="preserve">
manually override from 'other' as primary response to 'none' because they mentioned they didn’t do anything within our timeframe
</t>
        </r>
      </text>
    </comment>
    <comment ref="K190" authorId="0" shapeId="0">
      <text>
        <r>
          <rPr>
            <b/>
            <sz val="9"/>
            <color indexed="81"/>
            <rFont val="Tahoma"/>
            <family val="2"/>
          </rPr>
          <t>Author:</t>
        </r>
        <r>
          <rPr>
            <sz val="9"/>
            <color indexed="81"/>
            <rFont val="Tahoma"/>
            <family val="2"/>
          </rPr>
          <t xml:space="preserve">
decrease but within same level (11)</t>
        </r>
      </text>
    </comment>
    <comment ref="N196" authorId="0" shapeId="0">
      <text>
        <r>
          <rPr>
            <b/>
            <sz val="9"/>
            <color indexed="81"/>
            <rFont val="Tahoma"/>
            <family val="2"/>
          </rPr>
          <t>Author:</t>
        </r>
        <r>
          <rPr>
            <sz val="9"/>
            <color indexed="81"/>
            <rFont val="Tahoma"/>
            <family val="2"/>
          </rPr>
          <t xml:space="preserve">
decrease but within same level (5)</t>
        </r>
      </text>
    </comment>
    <comment ref="AL196" authorId="0" shapeId="0">
      <text>
        <r>
          <rPr>
            <b/>
            <sz val="9"/>
            <color indexed="81"/>
            <rFont val="Tahoma"/>
            <family val="2"/>
          </rPr>
          <t>Author:</t>
        </r>
        <r>
          <rPr>
            <sz val="9"/>
            <color indexed="81"/>
            <rFont val="Tahoma"/>
            <family val="2"/>
          </rPr>
          <t xml:space="preserve">
manually override ‘no primary response selected’ to ‘nrm’ because they responded by both adaptive and transformative action but mentioned in 'other' response that they helped planted coral seedlings as response</t>
        </r>
      </text>
    </comment>
  </commentList>
</comments>
</file>

<file path=xl/sharedStrings.xml><?xml version="1.0" encoding="utf-8"?>
<sst xmlns="http://schemas.openxmlformats.org/spreadsheetml/2006/main" count="1366" uniqueCount="240">
  <si>
    <t>location</t>
  </si>
  <si>
    <t>disturbance_type</t>
  </si>
  <si>
    <t>disturbance_severity</t>
  </si>
  <si>
    <t>divbl</t>
  </si>
  <si>
    <t>divwl</t>
  </si>
  <si>
    <t>nrm</t>
  </si>
  <si>
    <t>protect</t>
  </si>
  <si>
    <t>relief</t>
  </si>
  <si>
    <t>co2</t>
  </si>
  <si>
    <t>code</t>
  </si>
  <si>
    <t>Variable / category</t>
  </si>
  <si>
    <t>Control factors</t>
  </si>
  <si>
    <t>French Polynesia</t>
  </si>
  <si>
    <t>fp</t>
  </si>
  <si>
    <t>Australia</t>
  </si>
  <si>
    <t>au</t>
  </si>
  <si>
    <t>Indonesia</t>
  </si>
  <si>
    <t>id</t>
  </si>
  <si>
    <t>Coral bleaching</t>
  </si>
  <si>
    <t>Cyclone</t>
  </si>
  <si>
    <t>None of reef sites had more than a third of area affected</t>
  </si>
  <si>
    <t>25% of reef sites had more than a third of area affected</t>
  </si>
  <si>
    <t>50% of reef sites had more than a third of area affected</t>
  </si>
  <si>
    <t>75% of reef sites had more than a third of area affected</t>
  </si>
  <si>
    <t>All of reef sites had more than a third of area affected</t>
  </si>
  <si>
    <t>responses</t>
  </si>
  <si>
    <t>Diversification between livelihoods</t>
  </si>
  <si>
    <t>Diversification within livelihood</t>
  </si>
  <si>
    <t>Changes in mode of operating</t>
  </si>
  <si>
    <t>Natural resource management</t>
  </si>
  <si>
    <t>Protective measures</t>
  </si>
  <si>
    <t>Relief measures</t>
  </si>
  <si>
    <t>Carbon emission reductions</t>
  </si>
  <si>
    <t>Most important response to disturbance</t>
  </si>
  <si>
    <t>Adaptive behavior</t>
  </si>
  <si>
    <t>Change of reef sites visited on tours</t>
  </si>
  <si>
    <t>Change of types of tours and activities offered</t>
  </si>
  <si>
    <t>insurance</t>
  </si>
  <si>
    <t>monitor</t>
  </si>
  <si>
    <t>Seek protection from risks (for example insurance)</t>
  </si>
  <si>
    <t xml:space="preserve">Beginning monitoring climate and/or reef conditions </t>
  </si>
  <si>
    <t>Other: Education of visitors about climate impacts</t>
  </si>
  <si>
    <t>educate</t>
  </si>
  <si>
    <t>No response to climate impacts</t>
  </si>
  <si>
    <t>Sell property, reduce workforce or rely on savings</t>
  </si>
  <si>
    <t>Seek support from government, community or relatives</t>
  </si>
  <si>
    <t>support</t>
  </si>
  <si>
    <t>sell</t>
  </si>
  <si>
    <t>resp_age</t>
  </si>
  <si>
    <t>respondent nationality</t>
  </si>
  <si>
    <t>respondent age</t>
  </si>
  <si>
    <t>aus</t>
  </si>
  <si>
    <t>35 - 44</t>
  </si>
  <si>
    <t>65+</t>
  </si>
  <si>
    <t>45 - 54</t>
  </si>
  <si>
    <t>55 - 64</t>
  </si>
  <si>
    <t>respondent gender</t>
  </si>
  <si>
    <t>respondent position</t>
  </si>
  <si>
    <t>25 - 34</t>
  </si>
  <si>
    <t>18 - 24</t>
  </si>
  <si>
    <t>jpn</t>
  </si>
  <si>
    <t>idn</t>
  </si>
  <si>
    <t>Adaptation outcomes</t>
  </si>
  <si>
    <t>Microeconomic</t>
  </si>
  <si>
    <t>Visitor-days: before disturbance</t>
  </si>
  <si>
    <t>Visitor-days: after disturbance</t>
  </si>
  <si>
    <t>Live coral coverage: before disturbance</t>
  </si>
  <si>
    <t>Live coral coverage: after disturbance</t>
  </si>
  <si>
    <t>Ties to other reef operators: before disturbance</t>
  </si>
  <si>
    <t>Ties to other reef operators: after disturbance</t>
  </si>
  <si>
    <t>Risk</t>
  </si>
  <si>
    <t>Perceived probability of being affected by disturbance: before disturbance</t>
  </si>
  <si>
    <t>Perceived probability of being affected by disturbance: after disturbance</t>
  </si>
  <si>
    <t>Vulnerability</t>
  </si>
  <si>
    <t>Perceived severity of disturbance on firm's revenue: before disturbance</t>
  </si>
  <si>
    <t>Perceived severity of disturbance on firm's revenue: after disturbance</t>
  </si>
  <si>
    <t>Visitor-days: change over time</t>
  </si>
  <si>
    <t>0 - 3 customers per day</t>
  </si>
  <si>
    <t>3 - 5 customers per day</t>
  </si>
  <si>
    <t>5 - 10 customers per day</t>
  </si>
  <si>
    <t>10 - 20 customers per day</t>
  </si>
  <si>
    <t>20 - 30 customers per day</t>
  </si>
  <si>
    <t>30 - 40 customers per day</t>
  </si>
  <si>
    <t>40 - 50 customers per day</t>
  </si>
  <si>
    <t>50 - 75 customers per day</t>
  </si>
  <si>
    <t>75 - 100 customers per day</t>
  </si>
  <si>
    <t>100 - 150 customers per day</t>
  </si>
  <si>
    <t>150 - 200 customers per day</t>
  </si>
  <si>
    <t>200 - 250 customers per day</t>
  </si>
  <si>
    <t>250 - 300 customers per day</t>
  </si>
  <si>
    <t>300 - 400 customers per day</t>
  </si>
  <si>
    <t>&gt;500 customers per day</t>
  </si>
  <si>
    <t>400 - 500 customers per day</t>
  </si>
  <si>
    <t>Live coral coverage: change over time</t>
  </si>
  <si>
    <t>0 - 10% cover</t>
  </si>
  <si>
    <t>10 - 20% cover</t>
  </si>
  <si>
    <t>20 - 30% cover</t>
  </si>
  <si>
    <t>30 - 40% cover</t>
  </si>
  <si>
    <t>40 - 50% cover</t>
  </si>
  <si>
    <t>50 - 60% cover</t>
  </si>
  <si>
    <t>60 - 70% cover</t>
  </si>
  <si>
    <t>70 - 80% cover</t>
  </si>
  <si>
    <t>80 - 90% cover</t>
  </si>
  <si>
    <t>90 - 100% cover</t>
  </si>
  <si>
    <t>Ties to other reef operators: change over time</t>
  </si>
  <si>
    <t>Weak ties (not much interaction)</t>
  </si>
  <si>
    <t>Moderate ties (some interaction)</t>
  </si>
  <si>
    <t>Strong ties (informal ties with key stakeholders)</t>
  </si>
  <si>
    <t>Perceived probability of being affected by disturbance: change over time</t>
  </si>
  <si>
    <t>Perceived severity of disturbance on firm's revenue: change over time</t>
  </si>
  <si>
    <t>very negatively affected</t>
  </si>
  <si>
    <t>somewhat negatively affected</t>
  </si>
  <si>
    <t>not affected</t>
  </si>
  <si>
    <t>somewhat positively affected</t>
  </si>
  <si>
    <t>0 - 20% chance</t>
  </si>
  <si>
    <t>20 - 40% chance</t>
  </si>
  <si>
    <t>40 - 60% chance</t>
  </si>
  <si>
    <t>60 - 80% chance</t>
  </si>
  <si>
    <t>80 - 100% chance</t>
  </si>
  <si>
    <t>Microeconomic change accredited to disturbance</t>
  </si>
  <si>
    <t>Not at all related to disturbance</t>
  </si>
  <si>
    <t>Somewhat related to disturbance</t>
  </si>
  <si>
    <t>Strongly related to disturbance</t>
  </si>
  <si>
    <t>(market) Externalities: Environmental</t>
  </si>
  <si>
    <t>(market) Externalities: Environmental: Social (collective action)</t>
  </si>
  <si>
    <t>(market) Externalities: Environmental accredited to disturbance</t>
  </si>
  <si>
    <t>jp</t>
  </si>
  <si>
    <t>resp_nation</t>
  </si>
  <si>
    <t>resp_gender</t>
  </si>
  <si>
    <t>resp_position</t>
  </si>
  <si>
    <t>dist_type</t>
  </si>
  <si>
    <t>dist_severity</t>
  </si>
  <si>
    <t>dist_bleach</t>
  </si>
  <si>
    <t>dist_cyclone</t>
  </si>
  <si>
    <t>Japan</t>
  </si>
  <si>
    <t>chgsites</t>
  </si>
  <si>
    <t>chgact</t>
  </si>
  <si>
    <t>chgopmode</t>
  </si>
  <si>
    <t>topresponse</t>
  </si>
  <si>
    <t>none</t>
  </si>
  <si>
    <t>other</t>
  </si>
  <si>
    <t>Something else</t>
  </si>
  <si>
    <t>visitors_pre</t>
  </si>
  <si>
    <t>visitors_post</t>
  </si>
  <si>
    <t>visitors_delta</t>
  </si>
  <si>
    <t>visitors_delta_dist</t>
  </si>
  <si>
    <t>coral_pre</t>
  </si>
  <si>
    <t>coral_post</t>
  </si>
  <si>
    <t>coral_delta</t>
  </si>
  <si>
    <t>coral_delta_dist</t>
  </si>
  <si>
    <t>operator_ties_pre</t>
  </si>
  <si>
    <t>operator_ties_post</t>
  </si>
  <si>
    <t>operator_ties_delta</t>
  </si>
  <si>
    <t>risk_pre</t>
  </si>
  <si>
    <t>risk_post</t>
  </si>
  <si>
    <t>risk_delta</t>
  </si>
  <si>
    <t>vulnerability_pre</t>
  </si>
  <si>
    <t>vulnerability_post</t>
  </si>
  <si>
    <t>vulnerability_delta</t>
  </si>
  <si>
    <t>eur</t>
  </si>
  <si>
    <t>resp_region</t>
  </si>
  <si>
    <t>nam</t>
  </si>
  <si>
    <t>fj</t>
  </si>
  <si>
    <t>mi</t>
  </si>
  <si>
    <t>hi</t>
  </si>
  <si>
    <t>male</t>
  </si>
  <si>
    <t>female</t>
  </si>
  <si>
    <t>Removed operator #45 and #146 because no data on outcomes (Australia)</t>
  </si>
  <si>
    <t>Removed 18 operators in Indonesia for 2019 bleaching event because of COVID overlap and only 6 months outcomes period (they were much more likely to experience visitor loss)</t>
  </si>
  <si>
    <t>gov_effect</t>
  </si>
  <si>
    <t>operator</t>
  </si>
  <si>
    <t>dist_market</t>
  </si>
  <si>
    <t>Removed operators #155 (ID) and #168 (JP) because they had missing data on both risk and vulnerability outcomes.</t>
  </si>
  <si>
    <t>n = 209 operators left</t>
  </si>
  <si>
    <t>n = 211 operators left</t>
  </si>
  <si>
    <t>Respondents</t>
  </si>
  <si>
    <t>ID</t>
  </si>
  <si>
    <t>AU</t>
  </si>
  <si>
    <t>JP</t>
  </si>
  <si>
    <t>MI</t>
  </si>
  <si>
    <t>FJ</t>
  </si>
  <si>
    <t>HI</t>
  </si>
  <si>
    <t>FP</t>
  </si>
  <si>
    <t>TOTAL</t>
  </si>
  <si>
    <t>Nationality (respondent)</t>
  </si>
  <si>
    <t>#</t>
  </si>
  <si>
    <t>Australian</t>
  </si>
  <si>
    <t>European</t>
  </si>
  <si>
    <t>Indonesian</t>
  </si>
  <si>
    <t>Japanese</t>
  </si>
  <si>
    <t>North American</t>
  </si>
  <si>
    <t>Other</t>
  </si>
  <si>
    <t>Gender (respondent)</t>
  </si>
  <si>
    <t>Age (respondent)</t>
  </si>
  <si>
    <t>Disturbance type</t>
  </si>
  <si>
    <t>bleaching</t>
  </si>
  <si>
    <t>cyclone</t>
  </si>
  <si>
    <t>Disturbance severity</t>
  </si>
  <si>
    <t>adaptation</t>
  </si>
  <si>
    <t>(1) chgsites</t>
  </si>
  <si>
    <t>(2) chgact</t>
  </si>
  <si>
    <t>(3) chgop</t>
  </si>
  <si>
    <t>(4) nrm</t>
  </si>
  <si>
    <t>(5) divbl</t>
  </si>
  <si>
    <t>(6) relief</t>
  </si>
  <si>
    <t>(7) support</t>
  </si>
  <si>
    <t>(8) risk</t>
  </si>
  <si>
    <t>(9) monitor</t>
  </si>
  <si>
    <t>(10) co2</t>
  </si>
  <si>
    <t>Risk (pre-disturbance)</t>
  </si>
  <si>
    <t>0 - 20%</t>
  </si>
  <si>
    <t>20 - 40%</t>
  </si>
  <si>
    <t>40 - 60%</t>
  </si>
  <si>
    <t>60 - 80%</t>
  </si>
  <si>
    <t>80 - 100%</t>
  </si>
  <si>
    <t>Risk (∆)</t>
  </si>
  <si>
    <t>Same</t>
  </si>
  <si>
    <t>Decrease</t>
  </si>
  <si>
    <t>Increase</t>
  </si>
  <si>
    <t>Vulnerability (pre-disturbance)</t>
  </si>
  <si>
    <t>very negatively</t>
  </si>
  <si>
    <t>somewhat negatively</t>
  </si>
  <si>
    <t>somewhat positively</t>
  </si>
  <si>
    <t>Vulnerability (∆)</t>
  </si>
  <si>
    <t>Median</t>
  </si>
  <si>
    <t>Median absolute deviation (MAD)</t>
  </si>
  <si>
    <t>Coral cover (∆)</t>
  </si>
  <si>
    <t>Visitors (∆)</t>
  </si>
  <si>
    <t>Visitors (pre-disturbance)</t>
  </si>
  <si>
    <t>Coral cover (pre-disturbance)</t>
  </si>
  <si>
    <t>weak</t>
  </si>
  <si>
    <t>moderate</t>
  </si>
  <si>
    <t>strong</t>
  </si>
  <si>
    <t>Operator ties (pre-disturbance)</t>
  </si>
  <si>
    <t>Operator ties (∆)</t>
  </si>
  <si>
    <t>Government effectiveness</t>
  </si>
  <si>
    <t>the Hawaiian Islands</t>
  </si>
  <si>
    <t>the Mariana Islands</t>
  </si>
  <si>
    <t>Fiji</t>
  </si>
  <si>
    <t>Level of institutional development in the country where reef operator is based (Kaufmann et al., 2011; The World Bank, 2021): We used data from the year 2014 for all countries because the first climate disturbance we studied occurred in 2014 in the Hawaiian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</si>
</sst>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b/>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
      <sz val="11"/>
      <name val="Calibri"/>
      <family val="2"/>
      <scheme val="minor"/>
    </font>
  </fonts>
  <fills count="3">
    <fill>
      <patternFill patternType="none"/>
    </fill>
    <fill>
      <patternFill patternType="gray125"/>
    </fill>
    <fill>
      <patternFill patternType="solid">
        <fgColor theme="7" tint="0.79998168889431442"/>
        <bgColor indexed="64"/>
      </patternFill>
    </fill>
  </fills>
  <borders count="1">
    <border>
      <left/>
      <right/>
      <top/>
      <bottom/>
      <diagonal/>
    </border>
  </borders>
  <cellStyleXfs count="1">
    <xf numFmtId="0" fontId="0" fillId="0" borderId="0"/>
  </cellStyleXfs>
  <cellXfs count="21">
    <xf numFmtId="0" fontId="0" fillId="0" borderId="0" xfId="0"/>
    <xf numFmtId="9" fontId="0" fillId="0" borderId="0" xfId="0" applyNumberFormat="1"/>
    <xf numFmtId="1" fontId="0" fillId="0" borderId="0" xfId="0" applyNumberFormat="1"/>
    <xf numFmtId="0" fontId="1" fillId="0" borderId="0" xfId="0" applyFont="1"/>
    <xf numFmtId="1" fontId="1" fillId="0" borderId="0" xfId="0" applyNumberFormat="1" applyFont="1"/>
    <xf numFmtId="1" fontId="0" fillId="0" borderId="0" xfId="0" applyNumberFormat="1" applyFill="1"/>
    <xf numFmtId="0" fontId="2" fillId="0" borderId="0" xfId="0" applyFont="1"/>
    <xf numFmtId="0" fontId="0" fillId="0" borderId="0" xfId="0" applyFont="1"/>
    <xf numFmtId="164" fontId="0" fillId="0" borderId="0" xfId="0" applyNumberFormat="1"/>
    <xf numFmtId="0" fontId="0" fillId="0" borderId="0" xfId="0" applyFill="1"/>
    <xf numFmtId="0" fontId="5" fillId="0" borderId="0" xfId="0" applyFont="1"/>
    <xf numFmtId="0" fontId="1" fillId="0" borderId="0" xfId="0" applyFont="1" applyAlignment="1"/>
    <xf numFmtId="1" fontId="0" fillId="0" borderId="0" xfId="0" applyNumberFormat="1" applyFont="1"/>
    <xf numFmtId="2" fontId="0" fillId="0" borderId="0" xfId="0" applyNumberFormat="1"/>
    <xf numFmtId="2" fontId="1" fillId="0" borderId="0" xfId="0" applyNumberFormat="1" applyFont="1" applyFill="1"/>
    <xf numFmtId="2" fontId="1" fillId="0" borderId="0" xfId="0" applyNumberFormat="1" applyFont="1"/>
    <xf numFmtId="2" fontId="0" fillId="0" borderId="0" xfId="0" applyNumberFormat="1" applyFont="1"/>
    <xf numFmtId="9" fontId="0" fillId="2" borderId="0" xfId="0" applyNumberFormat="1" applyFill="1"/>
    <xf numFmtId="0" fontId="0" fillId="2" borderId="0" xfId="0" applyFill="1"/>
    <xf numFmtId="9" fontId="1" fillId="2" borderId="0" xfId="0" applyNumberFormat="1" applyFont="1" applyFill="1"/>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1"/>
  <sheetViews>
    <sheetView tabSelected="1" workbookViewId="0">
      <selection activeCell="B5" sqref="B5"/>
    </sheetView>
  </sheetViews>
  <sheetFormatPr defaultRowHeight="14.5" x14ac:dyDescent="0.35"/>
  <sheetData>
    <row r="4" spans="2:2" x14ac:dyDescent="0.35">
      <c r="B4" t="s">
        <v>167</v>
      </c>
    </row>
    <row r="5" spans="2:2" x14ac:dyDescent="0.35">
      <c r="B5" t="s">
        <v>168</v>
      </c>
    </row>
    <row r="7" spans="2:2" x14ac:dyDescent="0.35">
      <c r="B7" t="s">
        <v>174</v>
      </c>
    </row>
    <row r="9" spans="2:2" x14ac:dyDescent="0.35">
      <c r="B9" t="s">
        <v>172</v>
      </c>
    </row>
    <row r="11" spans="2:2" x14ac:dyDescent="0.35">
      <c r="B11" t="s">
        <v>173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84"/>
  <sheetViews>
    <sheetView topLeftCell="A4" workbookViewId="0">
      <selection activeCell="B22" sqref="B22"/>
    </sheetView>
  </sheetViews>
  <sheetFormatPr defaultRowHeight="14.5" x14ac:dyDescent="0.35"/>
  <cols>
    <col min="2" max="2" width="65.81640625" bestFit="1" customWidth="1"/>
    <col min="3" max="3" width="12.26953125" bestFit="1" customWidth="1"/>
    <col min="5" max="5" width="75.81640625" bestFit="1" customWidth="1"/>
    <col min="6" max="6" width="19.1796875" customWidth="1"/>
    <col min="8" max="8" width="52.54296875" bestFit="1" customWidth="1"/>
    <col min="9" max="9" width="12.26953125" bestFit="1" customWidth="1"/>
  </cols>
  <sheetData>
    <row r="1" spans="2:9" x14ac:dyDescent="0.35">
      <c r="B1" s="20" t="s">
        <v>11</v>
      </c>
      <c r="C1" s="20"/>
      <c r="E1" s="20" t="s">
        <v>62</v>
      </c>
      <c r="F1" s="20"/>
      <c r="G1" s="11"/>
      <c r="H1" s="20" t="s">
        <v>34</v>
      </c>
      <c r="I1" s="20"/>
    </row>
    <row r="2" spans="2:9" x14ac:dyDescent="0.35">
      <c r="B2" s="3"/>
      <c r="H2" s="3"/>
    </row>
    <row r="3" spans="2:9" x14ac:dyDescent="0.35">
      <c r="B3" s="3" t="s">
        <v>10</v>
      </c>
      <c r="C3" s="3" t="s">
        <v>9</v>
      </c>
      <c r="E3" s="3" t="s">
        <v>10</v>
      </c>
      <c r="F3" s="3" t="s">
        <v>9</v>
      </c>
      <c r="H3" s="3" t="s">
        <v>10</v>
      </c>
      <c r="I3" s="3" t="s">
        <v>9</v>
      </c>
    </row>
    <row r="5" spans="2:9" x14ac:dyDescent="0.35">
      <c r="B5" s="6" t="s">
        <v>0</v>
      </c>
      <c r="C5" t="s">
        <v>0</v>
      </c>
      <c r="E5" s="6" t="s">
        <v>63</v>
      </c>
      <c r="H5" s="6" t="s">
        <v>25</v>
      </c>
    </row>
    <row r="6" spans="2:9" x14ac:dyDescent="0.35">
      <c r="B6" s="7" t="s">
        <v>14</v>
      </c>
      <c r="C6" t="s">
        <v>15</v>
      </c>
      <c r="E6" t="s">
        <v>64</v>
      </c>
      <c r="F6" t="s">
        <v>142</v>
      </c>
      <c r="H6" t="s">
        <v>26</v>
      </c>
      <c r="I6" t="s">
        <v>3</v>
      </c>
    </row>
    <row r="7" spans="2:9" x14ac:dyDescent="0.35">
      <c r="B7" t="s">
        <v>16</v>
      </c>
      <c r="C7" t="s">
        <v>17</v>
      </c>
      <c r="E7" t="s">
        <v>65</v>
      </c>
      <c r="F7" t="s">
        <v>143</v>
      </c>
      <c r="H7" t="s">
        <v>35</v>
      </c>
      <c r="I7" t="s">
        <v>135</v>
      </c>
    </row>
    <row r="8" spans="2:9" x14ac:dyDescent="0.35">
      <c r="B8" t="s">
        <v>134</v>
      </c>
      <c r="C8" t="s">
        <v>126</v>
      </c>
      <c r="E8" t="s">
        <v>76</v>
      </c>
      <c r="F8" t="s">
        <v>144</v>
      </c>
      <c r="H8" t="s">
        <v>36</v>
      </c>
      <c r="I8" t="s">
        <v>136</v>
      </c>
    </row>
    <row r="9" spans="2:9" x14ac:dyDescent="0.35">
      <c r="B9" t="s">
        <v>236</v>
      </c>
      <c r="C9" t="s">
        <v>164</v>
      </c>
      <c r="H9" t="s">
        <v>27</v>
      </c>
      <c r="I9" t="s">
        <v>4</v>
      </c>
    </row>
    <row r="10" spans="2:9" x14ac:dyDescent="0.35">
      <c r="B10" t="s">
        <v>237</v>
      </c>
      <c r="C10" t="s">
        <v>163</v>
      </c>
      <c r="E10" t="s">
        <v>77</v>
      </c>
      <c r="F10">
        <v>1</v>
      </c>
      <c r="H10" t="s">
        <v>28</v>
      </c>
      <c r="I10" t="s">
        <v>137</v>
      </c>
    </row>
    <row r="11" spans="2:9" x14ac:dyDescent="0.35">
      <c r="B11" t="s">
        <v>12</v>
      </c>
      <c r="C11" t="s">
        <v>13</v>
      </c>
      <c r="E11" t="s">
        <v>78</v>
      </c>
      <c r="F11">
        <v>2</v>
      </c>
      <c r="H11" t="s">
        <v>29</v>
      </c>
      <c r="I11" t="s">
        <v>5</v>
      </c>
    </row>
    <row r="12" spans="2:9" x14ac:dyDescent="0.35">
      <c r="B12" t="s">
        <v>238</v>
      </c>
      <c r="C12" t="s">
        <v>162</v>
      </c>
      <c r="E12" t="s">
        <v>79</v>
      </c>
      <c r="F12">
        <v>3</v>
      </c>
      <c r="H12" t="s">
        <v>39</v>
      </c>
      <c r="I12" t="s">
        <v>37</v>
      </c>
    </row>
    <row r="13" spans="2:9" x14ac:dyDescent="0.35">
      <c r="E13" t="s">
        <v>80</v>
      </c>
      <c r="F13">
        <v>4</v>
      </c>
      <c r="H13" t="s">
        <v>40</v>
      </c>
      <c r="I13" t="s">
        <v>38</v>
      </c>
    </row>
    <row r="14" spans="2:9" x14ac:dyDescent="0.35">
      <c r="B14" s="3" t="s">
        <v>235</v>
      </c>
      <c r="C14" t="s">
        <v>169</v>
      </c>
      <c r="E14" t="s">
        <v>81</v>
      </c>
      <c r="F14">
        <v>5</v>
      </c>
      <c r="H14" t="s">
        <v>30</v>
      </c>
      <c r="I14" t="s">
        <v>6</v>
      </c>
    </row>
    <row r="15" spans="2:9" x14ac:dyDescent="0.35">
      <c r="B15" s="7" t="s">
        <v>239</v>
      </c>
      <c r="E15" t="s">
        <v>82</v>
      </c>
      <c r="F15">
        <v>6</v>
      </c>
      <c r="H15" t="s">
        <v>44</v>
      </c>
      <c r="I15" t="s">
        <v>47</v>
      </c>
    </row>
    <row r="16" spans="2:9" x14ac:dyDescent="0.35">
      <c r="E16" t="s">
        <v>83</v>
      </c>
      <c r="F16">
        <v>7</v>
      </c>
      <c r="H16" t="s">
        <v>45</v>
      </c>
      <c r="I16" t="s">
        <v>46</v>
      </c>
    </row>
    <row r="17" spans="2:9" x14ac:dyDescent="0.35">
      <c r="B17" s="6" t="s">
        <v>49</v>
      </c>
      <c r="C17" t="s">
        <v>127</v>
      </c>
      <c r="E17" t="s">
        <v>84</v>
      </c>
      <c r="F17">
        <v>8</v>
      </c>
      <c r="H17" t="s">
        <v>31</v>
      </c>
      <c r="I17" t="s">
        <v>7</v>
      </c>
    </row>
    <row r="18" spans="2:9" x14ac:dyDescent="0.35">
      <c r="B18" s="6" t="s">
        <v>50</v>
      </c>
      <c r="C18" t="s">
        <v>48</v>
      </c>
      <c r="E18" t="s">
        <v>85</v>
      </c>
      <c r="F18">
        <v>9</v>
      </c>
      <c r="H18" t="s">
        <v>32</v>
      </c>
      <c r="I18" t="s">
        <v>8</v>
      </c>
    </row>
    <row r="19" spans="2:9" x14ac:dyDescent="0.35">
      <c r="B19" s="6" t="s">
        <v>56</v>
      </c>
      <c r="C19" t="s">
        <v>128</v>
      </c>
      <c r="E19" t="s">
        <v>86</v>
      </c>
      <c r="F19">
        <v>10</v>
      </c>
      <c r="H19" t="s">
        <v>41</v>
      </c>
      <c r="I19" t="s">
        <v>42</v>
      </c>
    </row>
    <row r="20" spans="2:9" x14ac:dyDescent="0.35">
      <c r="B20" s="6" t="s">
        <v>57</v>
      </c>
      <c r="C20" t="s">
        <v>129</v>
      </c>
      <c r="E20" t="s">
        <v>87</v>
      </c>
      <c r="F20">
        <v>11</v>
      </c>
    </row>
    <row r="21" spans="2:9" x14ac:dyDescent="0.35">
      <c r="E21" t="s">
        <v>88</v>
      </c>
      <c r="F21">
        <v>12</v>
      </c>
      <c r="H21" s="6" t="s">
        <v>33</v>
      </c>
      <c r="I21" t="s">
        <v>138</v>
      </c>
    </row>
    <row r="22" spans="2:9" x14ac:dyDescent="0.35">
      <c r="B22" s="6" t="s">
        <v>1</v>
      </c>
      <c r="C22" t="s">
        <v>130</v>
      </c>
      <c r="E22" t="s">
        <v>89</v>
      </c>
      <c r="F22">
        <v>13</v>
      </c>
      <c r="H22" t="s">
        <v>26</v>
      </c>
      <c r="I22" t="s">
        <v>3</v>
      </c>
    </row>
    <row r="23" spans="2:9" x14ac:dyDescent="0.35">
      <c r="B23" s="7" t="s">
        <v>18</v>
      </c>
      <c r="C23" t="s">
        <v>132</v>
      </c>
      <c r="E23" t="s">
        <v>90</v>
      </c>
      <c r="F23">
        <v>14</v>
      </c>
      <c r="H23" t="s">
        <v>35</v>
      </c>
      <c r="I23" t="s">
        <v>135</v>
      </c>
    </row>
    <row r="24" spans="2:9" x14ac:dyDescent="0.35">
      <c r="B24" s="7" t="s">
        <v>19</v>
      </c>
      <c r="C24" t="s">
        <v>133</v>
      </c>
      <c r="E24" t="s">
        <v>92</v>
      </c>
      <c r="F24">
        <v>15</v>
      </c>
      <c r="H24" t="s">
        <v>36</v>
      </c>
      <c r="I24" t="s">
        <v>136</v>
      </c>
    </row>
    <row r="25" spans="2:9" x14ac:dyDescent="0.35">
      <c r="B25" s="7"/>
      <c r="E25" t="s">
        <v>91</v>
      </c>
      <c r="F25">
        <v>16</v>
      </c>
      <c r="H25" t="s">
        <v>28</v>
      </c>
      <c r="I25" t="s">
        <v>137</v>
      </c>
    </row>
    <row r="26" spans="2:9" x14ac:dyDescent="0.35">
      <c r="H26" t="s">
        <v>29</v>
      </c>
      <c r="I26" t="s">
        <v>5</v>
      </c>
    </row>
    <row r="27" spans="2:9" x14ac:dyDescent="0.35">
      <c r="B27" s="6" t="s">
        <v>2</v>
      </c>
      <c r="C27" t="s">
        <v>131</v>
      </c>
      <c r="E27" s="6" t="s">
        <v>119</v>
      </c>
      <c r="F27" t="s">
        <v>145</v>
      </c>
      <c r="H27" t="s">
        <v>39</v>
      </c>
      <c r="I27" t="s">
        <v>37</v>
      </c>
    </row>
    <row r="28" spans="2:9" x14ac:dyDescent="0.35">
      <c r="B28" t="s">
        <v>20</v>
      </c>
      <c r="C28" s="1">
        <v>0</v>
      </c>
      <c r="E28" t="s">
        <v>120</v>
      </c>
      <c r="F28">
        <v>0</v>
      </c>
      <c r="H28" t="s">
        <v>40</v>
      </c>
      <c r="I28" t="s">
        <v>38</v>
      </c>
    </row>
    <row r="29" spans="2:9" x14ac:dyDescent="0.35">
      <c r="B29" t="s">
        <v>21</v>
      </c>
      <c r="C29" s="1">
        <v>0.25</v>
      </c>
      <c r="E29" t="s">
        <v>121</v>
      </c>
      <c r="F29">
        <v>1</v>
      </c>
      <c r="H29" t="s">
        <v>31</v>
      </c>
      <c r="I29" t="s">
        <v>7</v>
      </c>
    </row>
    <row r="30" spans="2:9" x14ac:dyDescent="0.35">
      <c r="B30" t="s">
        <v>22</v>
      </c>
      <c r="C30" s="1">
        <v>0.5</v>
      </c>
      <c r="E30" t="s">
        <v>122</v>
      </c>
      <c r="F30">
        <v>2</v>
      </c>
      <c r="H30" t="s">
        <v>32</v>
      </c>
      <c r="I30" t="s">
        <v>8</v>
      </c>
    </row>
    <row r="31" spans="2:9" x14ac:dyDescent="0.35">
      <c r="B31" t="s">
        <v>23</v>
      </c>
      <c r="C31" s="1">
        <v>0.75</v>
      </c>
      <c r="H31" t="s">
        <v>41</v>
      </c>
      <c r="I31" t="s">
        <v>42</v>
      </c>
    </row>
    <row r="32" spans="2:9" x14ac:dyDescent="0.35">
      <c r="B32" t="s">
        <v>24</v>
      </c>
      <c r="C32" s="1">
        <v>1</v>
      </c>
      <c r="E32" s="6" t="s">
        <v>123</v>
      </c>
      <c r="H32" t="s">
        <v>43</v>
      </c>
      <c r="I32" t="s">
        <v>139</v>
      </c>
    </row>
    <row r="33" spans="2:9" x14ac:dyDescent="0.35">
      <c r="E33" s="7" t="s">
        <v>66</v>
      </c>
      <c r="F33" t="s">
        <v>146</v>
      </c>
      <c r="H33" t="s">
        <v>141</v>
      </c>
      <c r="I33" t="s">
        <v>140</v>
      </c>
    </row>
    <row r="34" spans="2:9" x14ac:dyDescent="0.35">
      <c r="E34" s="7" t="s">
        <v>67</v>
      </c>
      <c r="F34" t="s">
        <v>147</v>
      </c>
    </row>
    <row r="35" spans="2:9" x14ac:dyDescent="0.35">
      <c r="E35" s="7" t="s">
        <v>93</v>
      </c>
      <c r="F35" t="s">
        <v>148</v>
      </c>
    </row>
    <row r="37" spans="2:9" x14ac:dyDescent="0.35">
      <c r="E37" t="s">
        <v>94</v>
      </c>
      <c r="F37">
        <v>1</v>
      </c>
    </row>
    <row r="38" spans="2:9" x14ac:dyDescent="0.35">
      <c r="E38" t="s">
        <v>95</v>
      </c>
      <c r="F38">
        <v>2</v>
      </c>
    </row>
    <row r="39" spans="2:9" x14ac:dyDescent="0.35">
      <c r="E39" t="s">
        <v>96</v>
      </c>
      <c r="F39">
        <v>3</v>
      </c>
    </row>
    <row r="40" spans="2:9" x14ac:dyDescent="0.35">
      <c r="E40" t="s">
        <v>97</v>
      </c>
      <c r="F40">
        <v>4</v>
      </c>
    </row>
    <row r="41" spans="2:9" x14ac:dyDescent="0.35">
      <c r="E41" t="s">
        <v>98</v>
      </c>
      <c r="F41">
        <v>5</v>
      </c>
    </row>
    <row r="42" spans="2:9" x14ac:dyDescent="0.35">
      <c r="E42" t="s">
        <v>99</v>
      </c>
      <c r="F42">
        <v>6</v>
      </c>
    </row>
    <row r="43" spans="2:9" x14ac:dyDescent="0.35">
      <c r="E43" t="s">
        <v>100</v>
      </c>
      <c r="F43">
        <v>7</v>
      </c>
    </row>
    <row r="44" spans="2:9" x14ac:dyDescent="0.35">
      <c r="E44" t="s">
        <v>101</v>
      </c>
      <c r="F44">
        <v>8</v>
      </c>
    </row>
    <row r="45" spans="2:9" x14ac:dyDescent="0.35">
      <c r="B45" s="6"/>
      <c r="E45" t="s">
        <v>102</v>
      </c>
      <c r="F45">
        <v>9</v>
      </c>
    </row>
    <row r="46" spans="2:9" x14ac:dyDescent="0.35">
      <c r="C46" s="8"/>
      <c r="E46" t="s">
        <v>103</v>
      </c>
      <c r="F46">
        <v>10</v>
      </c>
    </row>
    <row r="47" spans="2:9" x14ac:dyDescent="0.35">
      <c r="C47" s="2"/>
    </row>
    <row r="48" spans="2:9" x14ac:dyDescent="0.35">
      <c r="C48" s="2"/>
      <c r="E48" s="6" t="s">
        <v>125</v>
      </c>
      <c r="F48" t="s">
        <v>149</v>
      </c>
    </row>
    <row r="49" spans="5:6" x14ac:dyDescent="0.35">
      <c r="E49" t="s">
        <v>120</v>
      </c>
      <c r="F49">
        <v>0</v>
      </c>
    </row>
    <row r="50" spans="5:6" x14ac:dyDescent="0.35">
      <c r="E50" t="s">
        <v>121</v>
      </c>
      <c r="F50">
        <v>1</v>
      </c>
    </row>
    <row r="51" spans="5:6" x14ac:dyDescent="0.35">
      <c r="E51" t="s">
        <v>122</v>
      </c>
      <c r="F51">
        <v>2</v>
      </c>
    </row>
    <row r="53" spans="5:6" x14ac:dyDescent="0.35">
      <c r="E53" s="6" t="s">
        <v>124</v>
      </c>
    </row>
    <row r="54" spans="5:6" x14ac:dyDescent="0.35">
      <c r="E54" s="7" t="s">
        <v>68</v>
      </c>
      <c r="F54" s="7" t="s">
        <v>150</v>
      </c>
    </row>
    <row r="55" spans="5:6" x14ac:dyDescent="0.35">
      <c r="E55" s="7" t="s">
        <v>69</v>
      </c>
      <c r="F55" s="7" t="s">
        <v>151</v>
      </c>
    </row>
    <row r="56" spans="5:6" x14ac:dyDescent="0.35">
      <c r="E56" s="7" t="s">
        <v>104</v>
      </c>
      <c r="F56" s="7" t="s">
        <v>152</v>
      </c>
    </row>
    <row r="58" spans="5:6" x14ac:dyDescent="0.35">
      <c r="E58" t="s">
        <v>105</v>
      </c>
      <c r="F58">
        <v>1</v>
      </c>
    </row>
    <row r="59" spans="5:6" x14ac:dyDescent="0.35">
      <c r="E59" t="s">
        <v>106</v>
      </c>
      <c r="F59">
        <v>2</v>
      </c>
    </row>
    <row r="60" spans="5:6" x14ac:dyDescent="0.35">
      <c r="E60" t="s">
        <v>107</v>
      </c>
      <c r="F60">
        <v>3</v>
      </c>
    </row>
    <row r="62" spans="5:6" x14ac:dyDescent="0.35">
      <c r="E62" s="6" t="s">
        <v>70</v>
      </c>
    </row>
    <row r="63" spans="5:6" x14ac:dyDescent="0.35">
      <c r="E63" t="s">
        <v>71</v>
      </c>
      <c r="F63" t="s">
        <v>153</v>
      </c>
    </row>
    <row r="64" spans="5:6" x14ac:dyDescent="0.35">
      <c r="E64" t="s">
        <v>72</v>
      </c>
      <c r="F64" t="s">
        <v>154</v>
      </c>
    </row>
    <row r="65" spans="5:6" x14ac:dyDescent="0.35">
      <c r="E65" t="s">
        <v>108</v>
      </c>
      <c r="F65" t="s">
        <v>155</v>
      </c>
    </row>
    <row r="67" spans="5:6" x14ac:dyDescent="0.35">
      <c r="E67" t="s">
        <v>114</v>
      </c>
      <c r="F67">
        <v>1</v>
      </c>
    </row>
    <row r="68" spans="5:6" x14ac:dyDescent="0.35">
      <c r="E68" t="s">
        <v>115</v>
      </c>
      <c r="F68">
        <v>2</v>
      </c>
    </row>
    <row r="69" spans="5:6" x14ac:dyDescent="0.35">
      <c r="E69" t="s">
        <v>116</v>
      </c>
      <c r="F69">
        <v>3</v>
      </c>
    </row>
    <row r="70" spans="5:6" x14ac:dyDescent="0.35">
      <c r="E70" t="s">
        <v>117</v>
      </c>
      <c r="F70">
        <v>4</v>
      </c>
    </row>
    <row r="71" spans="5:6" x14ac:dyDescent="0.35">
      <c r="E71" t="s">
        <v>118</v>
      </c>
      <c r="F71">
        <v>5</v>
      </c>
    </row>
    <row r="73" spans="5:6" x14ac:dyDescent="0.35">
      <c r="E73" s="6" t="s">
        <v>73</v>
      </c>
    </row>
    <row r="74" spans="5:6" x14ac:dyDescent="0.35">
      <c r="E74" t="s">
        <v>74</v>
      </c>
      <c r="F74" t="s">
        <v>156</v>
      </c>
    </row>
    <row r="75" spans="5:6" x14ac:dyDescent="0.35">
      <c r="E75" t="s">
        <v>75</v>
      </c>
      <c r="F75" t="s">
        <v>157</v>
      </c>
    </row>
    <row r="76" spans="5:6" x14ac:dyDescent="0.35">
      <c r="E76" t="s">
        <v>109</v>
      </c>
      <c r="F76" t="s">
        <v>158</v>
      </c>
    </row>
    <row r="78" spans="5:6" x14ac:dyDescent="0.35">
      <c r="E78" t="s">
        <v>110</v>
      </c>
      <c r="F78">
        <v>2</v>
      </c>
    </row>
    <row r="79" spans="5:6" x14ac:dyDescent="0.35">
      <c r="E79" t="s">
        <v>111</v>
      </c>
      <c r="F79">
        <v>1</v>
      </c>
    </row>
    <row r="80" spans="5:6" x14ac:dyDescent="0.35">
      <c r="E80" t="s">
        <v>112</v>
      </c>
      <c r="F80">
        <v>0</v>
      </c>
    </row>
    <row r="81" spans="5:6" x14ac:dyDescent="0.35">
      <c r="E81" t="s">
        <v>113</v>
      </c>
      <c r="F81">
        <v>-1</v>
      </c>
    </row>
    <row r="84" spans="5:6" x14ac:dyDescent="0.35">
      <c r="E84" s="6"/>
    </row>
  </sheetData>
  <mergeCells count="3">
    <mergeCell ref="H1:I1"/>
    <mergeCell ref="B1:C1"/>
    <mergeCell ref="E1:F1"/>
  </mergeCell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21"/>
  <sheetViews>
    <sheetView workbookViewId="0">
      <pane ySplit="1" topLeftCell="A2" activePane="bottomLeft" state="frozen"/>
      <selection pane="bottomLeft" activeCell="C22" sqref="C22"/>
    </sheetView>
  </sheetViews>
  <sheetFormatPr defaultRowHeight="14.5" x14ac:dyDescent="0.35"/>
  <cols>
    <col min="1" max="1" width="10.7265625" bestFit="1" customWidth="1"/>
    <col min="2" max="2" width="8.1796875" bestFit="1" customWidth="1"/>
    <col min="3" max="3" width="10.453125" bestFit="1" customWidth="1"/>
    <col min="4" max="5" width="11.54296875" bestFit="1" customWidth="1"/>
    <col min="6" max="6" width="9" bestFit="1" customWidth="1"/>
    <col min="7" max="7" width="12.1796875" bestFit="1" customWidth="1"/>
    <col min="8" max="8" width="9.26953125" bestFit="1" customWidth="1"/>
    <col min="9" max="9" width="12.453125" style="13" bestFit="1" customWidth="1"/>
    <col min="10" max="10" width="11.453125" style="2" bestFit="1" customWidth="1"/>
    <col min="11" max="11" width="12.26953125" bestFit="1" customWidth="1"/>
    <col min="12" max="12" width="12.26953125" customWidth="1"/>
    <col min="13" max="13" width="9.26953125" bestFit="1" customWidth="1"/>
    <col min="14" max="14" width="10.1796875" bestFit="1" customWidth="1"/>
    <col min="15" max="15" width="10.1796875" customWidth="1"/>
    <col min="16" max="16" width="17.26953125" bestFit="1" customWidth="1"/>
    <col min="17" max="17" width="18.1796875" bestFit="1" customWidth="1"/>
    <col min="18" max="18" width="18.1796875" customWidth="1"/>
    <col min="19" max="19" width="8.1796875" bestFit="1" customWidth="1"/>
    <col min="20" max="20" width="9" bestFit="1" customWidth="1"/>
    <col min="21" max="21" width="9" customWidth="1"/>
    <col min="22" max="22" width="16.453125" customWidth="1"/>
    <col min="23" max="24" width="17.453125" customWidth="1"/>
    <col min="25" max="25" width="14.54296875" style="2" customWidth="1"/>
    <col min="26" max="26" width="7.7265625" style="2" bestFit="1" customWidth="1"/>
    <col min="27" max="27" width="6.453125" style="2" bestFit="1" customWidth="1"/>
    <col min="28" max="28" width="5.26953125" style="2" bestFit="1" customWidth="1"/>
    <col min="29" max="29" width="10.81640625" style="2" bestFit="1" customWidth="1"/>
    <col min="30" max="30" width="10.453125" style="2" bestFit="1" customWidth="1"/>
    <col min="31" max="31" width="9" style="2" bestFit="1" customWidth="1"/>
    <col min="32" max="32" width="7.7265625" style="2" bestFit="1" customWidth="1"/>
    <col min="33" max="33" width="5.81640625" style="2" bestFit="1" customWidth="1"/>
    <col min="34" max="34" width="7.54296875" style="2" bestFit="1" customWidth="1"/>
    <col min="35" max="35" width="4.54296875" style="2" bestFit="1" customWidth="1"/>
    <col min="36" max="36" width="7.7265625" style="2" bestFit="1" customWidth="1"/>
    <col min="37" max="37" width="17.453125" bestFit="1" customWidth="1"/>
    <col min="38" max="38" width="12.1796875" bestFit="1" customWidth="1"/>
  </cols>
  <sheetData>
    <row r="1" spans="1:38" x14ac:dyDescent="0.35">
      <c r="A1" s="3" t="s">
        <v>170</v>
      </c>
      <c r="B1" s="3" t="s">
        <v>0</v>
      </c>
      <c r="C1" s="14" t="s">
        <v>169</v>
      </c>
      <c r="D1" s="14" t="s">
        <v>171</v>
      </c>
      <c r="E1" s="3" t="s">
        <v>160</v>
      </c>
      <c r="F1" s="3" t="s">
        <v>48</v>
      </c>
      <c r="G1" s="3" t="s">
        <v>128</v>
      </c>
      <c r="H1" s="3" t="s">
        <v>130</v>
      </c>
      <c r="I1" s="15" t="s">
        <v>131</v>
      </c>
      <c r="J1" s="4" t="s">
        <v>142</v>
      </c>
      <c r="K1" s="3" t="s">
        <v>143</v>
      </c>
      <c r="L1" s="3" t="s">
        <v>144</v>
      </c>
      <c r="M1" s="3" t="s">
        <v>146</v>
      </c>
      <c r="N1" s="3" t="s">
        <v>147</v>
      </c>
      <c r="O1" s="3" t="s">
        <v>148</v>
      </c>
      <c r="P1" s="3" t="s">
        <v>150</v>
      </c>
      <c r="Q1" s="3" t="s">
        <v>151</v>
      </c>
      <c r="R1" s="3" t="s">
        <v>152</v>
      </c>
      <c r="S1" s="3" t="s">
        <v>153</v>
      </c>
      <c r="T1" s="3" t="s">
        <v>154</v>
      </c>
      <c r="U1" s="3" t="s">
        <v>155</v>
      </c>
      <c r="V1" s="3" t="s">
        <v>156</v>
      </c>
      <c r="W1" s="3" t="s">
        <v>157</v>
      </c>
      <c r="X1" s="3" t="s">
        <v>158</v>
      </c>
      <c r="Y1" s="4" t="s">
        <v>3</v>
      </c>
      <c r="Z1" s="4" t="s">
        <v>135</v>
      </c>
      <c r="AA1" s="4" t="s">
        <v>136</v>
      </c>
      <c r="AB1" s="4" t="s">
        <v>4</v>
      </c>
      <c r="AC1" s="4" t="s">
        <v>137</v>
      </c>
      <c r="AD1" s="4" t="s">
        <v>5</v>
      </c>
      <c r="AE1" s="4" t="s">
        <v>37</v>
      </c>
      <c r="AF1" s="4" t="s">
        <v>38</v>
      </c>
      <c r="AG1" s="4" t="s">
        <v>7</v>
      </c>
      <c r="AH1" s="4" t="s">
        <v>46</v>
      </c>
      <c r="AI1" s="4" t="s">
        <v>8</v>
      </c>
      <c r="AJ1" s="4" t="s">
        <v>42</v>
      </c>
      <c r="AK1" s="3" t="s">
        <v>139</v>
      </c>
      <c r="AL1" s="3" t="s">
        <v>138</v>
      </c>
    </row>
    <row r="2" spans="1:38" x14ac:dyDescent="0.35">
      <c r="A2">
        <v>1</v>
      </c>
      <c r="B2" t="s">
        <v>17</v>
      </c>
      <c r="C2">
        <v>-0.04</v>
      </c>
      <c r="D2" s="9">
        <v>90</v>
      </c>
      <c r="E2" t="s">
        <v>159</v>
      </c>
      <c r="F2" t="s">
        <v>54</v>
      </c>
      <c r="G2" t="s">
        <v>165</v>
      </c>
      <c r="H2">
        <v>0</v>
      </c>
      <c r="I2" s="13">
        <v>0</v>
      </c>
      <c r="J2" s="2">
        <v>1</v>
      </c>
      <c r="K2">
        <v>1</v>
      </c>
      <c r="L2" s="2">
        <f>K2-J2</f>
        <v>0</v>
      </c>
      <c r="M2">
        <v>5</v>
      </c>
      <c r="N2">
        <v>5</v>
      </c>
      <c r="O2">
        <f>N2-M2</f>
        <v>0</v>
      </c>
      <c r="P2">
        <v>2</v>
      </c>
      <c r="Q2">
        <v>2</v>
      </c>
      <c r="R2">
        <f>Q2-P2</f>
        <v>0</v>
      </c>
      <c r="S2">
        <v>1</v>
      </c>
      <c r="T2">
        <v>1</v>
      </c>
      <c r="U2">
        <f>T2-S2</f>
        <v>0</v>
      </c>
      <c r="V2">
        <v>1</v>
      </c>
      <c r="W2">
        <v>1</v>
      </c>
      <c r="X2">
        <f>W2-V2</f>
        <v>0</v>
      </c>
      <c r="Y2" s="2">
        <v>0</v>
      </c>
      <c r="Z2" s="2">
        <v>0</v>
      </c>
      <c r="AA2" s="2">
        <v>0</v>
      </c>
      <c r="AB2">
        <f>IF(Z2+AA2&gt;0,1,0)</f>
        <v>0</v>
      </c>
      <c r="AC2" s="2">
        <v>0</v>
      </c>
      <c r="AD2" s="2">
        <v>1</v>
      </c>
      <c r="AE2" s="2">
        <v>0</v>
      </c>
      <c r="AF2" s="2">
        <v>1</v>
      </c>
      <c r="AG2" s="2">
        <v>0</v>
      </c>
      <c r="AH2" s="2">
        <v>0</v>
      </c>
      <c r="AI2" s="2">
        <v>0</v>
      </c>
      <c r="AJ2" s="2">
        <v>0</v>
      </c>
      <c r="AK2">
        <f>IF(Y2+Z2+AA2+AC2+AD2+AE2+AF2+AG2+AH2+AI2+AJ2=0,1,0)</f>
        <v>0</v>
      </c>
      <c r="AL2" s="9" t="s">
        <v>38</v>
      </c>
    </row>
    <row r="3" spans="1:38" x14ac:dyDescent="0.35">
      <c r="A3">
        <v>4</v>
      </c>
      <c r="B3" t="s">
        <v>17</v>
      </c>
      <c r="C3">
        <v>-0.04</v>
      </c>
      <c r="D3">
        <v>90</v>
      </c>
      <c r="E3" t="s">
        <v>161</v>
      </c>
      <c r="F3" t="s">
        <v>55</v>
      </c>
      <c r="G3" t="s">
        <v>165</v>
      </c>
      <c r="H3">
        <v>0</v>
      </c>
      <c r="I3" s="13">
        <v>0</v>
      </c>
      <c r="J3" s="2">
        <v>5</v>
      </c>
      <c r="K3">
        <v>5</v>
      </c>
      <c r="L3" s="2">
        <f t="shared" ref="L3:L66" si="0">K3-J3</f>
        <v>0</v>
      </c>
      <c r="M3">
        <v>9</v>
      </c>
      <c r="N3">
        <v>9</v>
      </c>
      <c r="O3">
        <f t="shared" ref="O3:O66" si="1">N3-M3</f>
        <v>0</v>
      </c>
      <c r="P3">
        <v>1</v>
      </c>
      <c r="Q3">
        <v>1</v>
      </c>
      <c r="R3">
        <f t="shared" ref="R3:R66" si="2">Q3-P3</f>
        <v>0</v>
      </c>
      <c r="S3">
        <v>1</v>
      </c>
      <c r="T3">
        <v>1</v>
      </c>
      <c r="U3">
        <f t="shared" ref="U3:U66" si="3">T3-S3</f>
        <v>0</v>
      </c>
      <c r="V3">
        <v>0</v>
      </c>
      <c r="W3">
        <v>0</v>
      </c>
      <c r="X3">
        <f t="shared" ref="X3:X66" si="4">W3-V3</f>
        <v>0</v>
      </c>
      <c r="Y3" s="2">
        <v>0</v>
      </c>
      <c r="Z3" s="2">
        <v>0</v>
      </c>
      <c r="AA3" s="2">
        <v>0</v>
      </c>
      <c r="AB3">
        <f t="shared" ref="AB3:AB56" si="5">IF(Z3+AA3&gt;0,1,0)</f>
        <v>0</v>
      </c>
      <c r="AC3" s="2">
        <v>0</v>
      </c>
      <c r="AD3" s="2">
        <v>0</v>
      </c>
      <c r="AE3" s="2">
        <v>0</v>
      </c>
      <c r="AF3" s="2">
        <v>0</v>
      </c>
      <c r="AG3" s="2">
        <v>0</v>
      </c>
      <c r="AH3" s="2">
        <v>0</v>
      </c>
      <c r="AI3" s="2">
        <v>0</v>
      </c>
      <c r="AJ3" s="2">
        <v>0</v>
      </c>
      <c r="AK3">
        <f t="shared" ref="AK3:AK66" si="6">IF(Y3+Z3+AA3+AC3+AD3+AE3+AF3+AG3+AH3+AI3+AJ3=0,1,0)</f>
        <v>1</v>
      </c>
      <c r="AL3" t="s">
        <v>139</v>
      </c>
    </row>
    <row r="4" spans="1:38" x14ac:dyDescent="0.35">
      <c r="A4">
        <v>5</v>
      </c>
      <c r="B4" t="s">
        <v>163</v>
      </c>
      <c r="C4">
        <v>0.44</v>
      </c>
      <c r="D4" s="2">
        <v>17</v>
      </c>
      <c r="E4" t="s">
        <v>161</v>
      </c>
      <c r="F4" t="s">
        <v>55</v>
      </c>
      <c r="G4" t="s">
        <v>165</v>
      </c>
      <c r="H4">
        <v>0</v>
      </c>
      <c r="I4" s="13">
        <v>0.5</v>
      </c>
      <c r="J4" s="2">
        <v>2</v>
      </c>
      <c r="K4">
        <v>3</v>
      </c>
      <c r="L4" s="2">
        <f t="shared" si="0"/>
        <v>1</v>
      </c>
      <c r="M4">
        <v>7</v>
      </c>
      <c r="N4">
        <v>5</v>
      </c>
      <c r="O4">
        <f t="shared" si="1"/>
        <v>-2</v>
      </c>
      <c r="P4">
        <v>1</v>
      </c>
      <c r="Q4">
        <v>1</v>
      </c>
      <c r="R4">
        <f t="shared" si="2"/>
        <v>0</v>
      </c>
      <c r="S4">
        <v>4</v>
      </c>
      <c r="T4">
        <v>4</v>
      </c>
      <c r="U4">
        <f t="shared" si="3"/>
        <v>0</v>
      </c>
      <c r="V4">
        <v>2</v>
      </c>
      <c r="W4">
        <v>2</v>
      </c>
      <c r="X4">
        <f t="shared" si="4"/>
        <v>0</v>
      </c>
      <c r="Y4" s="2">
        <v>0</v>
      </c>
      <c r="Z4" s="2">
        <v>1</v>
      </c>
      <c r="AA4" s="2">
        <v>0</v>
      </c>
      <c r="AB4">
        <f t="shared" si="5"/>
        <v>1</v>
      </c>
      <c r="AC4" s="2">
        <v>0</v>
      </c>
      <c r="AD4" s="2">
        <v>1</v>
      </c>
      <c r="AE4" s="2">
        <v>0</v>
      </c>
      <c r="AF4" s="2">
        <v>1</v>
      </c>
      <c r="AG4" s="2">
        <v>0</v>
      </c>
      <c r="AH4" s="2">
        <v>1</v>
      </c>
      <c r="AI4" s="2">
        <v>0</v>
      </c>
      <c r="AJ4" s="2">
        <v>0</v>
      </c>
      <c r="AK4">
        <f t="shared" si="6"/>
        <v>0</v>
      </c>
      <c r="AL4" t="s">
        <v>5</v>
      </c>
    </row>
    <row r="5" spans="1:38" x14ac:dyDescent="0.35">
      <c r="A5">
        <v>6</v>
      </c>
      <c r="B5" t="s">
        <v>17</v>
      </c>
      <c r="C5">
        <v>-0.04</v>
      </c>
      <c r="D5" s="2">
        <v>135</v>
      </c>
      <c r="E5" t="s">
        <v>161</v>
      </c>
      <c r="F5" t="s">
        <v>52</v>
      </c>
      <c r="G5" t="s">
        <v>165</v>
      </c>
      <c r="H5">
        <v>0</v>
      </c>
      <c r="I5" s="13">
        <v>0.25</v>
      </c>
      <c r="J5" s="2">
        <v>3</v>
      </c>
      <c r="K5">
        <v>3</v>
      </c>
      <c r="L5" s="2">
        <f t="shared" si="0"/>
        <v>0</v>
      </c>
      <c r="M5">
        <v>5</v>
      </c>
      <c r="N5">
        <v>5</v>
      </c>
      <c r="O5">
        <f t="shared" si="1"/>
        <v>0</v>
      </c>
      <c r="P5">
        <v>1</v>
      </c>
      <c r="Q5">
        <v>2</v>
      </c>
      <c r="R5">
        <f t="shared" si="2"/>
        <v>1</v>
      </c>
      <c r="S5">
        <v>4</v>
      </c>
      <c r="T5">
        <v>4</v>
      </c>
      <c r="U5">
        <f t="shared" si="3"/>
        <v>0</v>
      </c>
      <c r="V5">
        <v>1</v>
      </c>
      <c r="W5">
        <v>1</v>
      </c>
      <c r="X5">
        <f t="shared" si="4"/>
        <v>0</v>
      </c>
      <c r="Y5" s="2">
        <v>0</v>
      </c>
      <c r="Z5" s="2">
        <v>1</v>
      </c>
      <c r="AA5" s="2">
        <v>0</v>
      </c>
      <c r="AB5">
        <f t="shared" si="5"/>
        <v>1</v>
      </c>
      <c r="AC5" s="2">
        <v>0</v>
      </c>
      <c r="AD5" s="2">
        <v>0</v>
      </c>
      <c r="AE5" s="2">
        <v>0</v>
      </c>
      <c r="AF5" s="2">
        <v>1</v>
      </c>
      <c r="AG5" s="2">
        <v>0</v>
      </c>
      <c r="AH5" s="2">
        <v>0</v>
      </c>
      <c r="AI5" s="2">
        <v>0</v>
      </c>
      <c r="AJ5" s="2">
        <v>0</v>
      </c>
      <c r="AK5">
        <f t="shared" si="6"/>
        <v>0</v>
      </c>
      <c r="AL5" t="s">
        <v>135</v>
      </c>
    </row>
    <row r="6" spans="1:38" x14ac:dyDescent="0.35">
      <c r="A6">
        <v>8</v>
      </c>
      <c r="B6" t="s">
        <v>13</v>
      </c>
      <c r="C6">
        <v>1.42</v>
      </c>
      <c r="D6" s="2">
        <v>5</v>
      </c>
      <c r="E6" t="s">
        <v>60</v>
      </c>
      <c r="F6" t="s">
        <v>54</v>
      </c>
      <c r="G6" t="s">
        <v>166</v>
      </c>
      <c r="H6">
        <v>0</v>
      </c>
      <c r="I6" s="13">
        <v>0</v>
      </c>
      <c r="J6" s="2">
        <v>1</v>
      </c>
      <c r="K6">
        <v>1</v>
      </c>
      <c r="L6" s="2">
        <f t="shared" si="0"/>
        <v>0</v>
      </c>
      <c r="M6">
        <v>9</v>
      </c>
      <c r="N6">
        <v>9</v>
      </c>
      <c r="O6">
        <f t="shared" si="1"/>
        <v>0</v>
      </c>
      <c r="P6">
        <v>3</v>
      </c>
      <c r="Q6">
        <v>3</v>
      </c>
      <c r="R6">
        <f t="shared" si="2"/>
        <v>0</v>
      </c>
      <c r="S6">
        <v>3</v>
      </c>
      <c r="T6">
        <v>4</v>
      </c>
      <c r="U6">
        <f t="shared" si="3"/>
        <v>1</v>
      </c>
      <c r="V6">
        <v>1</v>
      </c>
      <c r="W6">
        <v>1</v>
      </c>
      <c r="X6">
        <f t="shared" si="4"/>
        <v>0</v>
      </c>
      <c r="Y6" s="2">
        <v>0</v>
      </c>
      <c r="Z6" s="2">
        <v>0</v>
      </c>
      <c r="AA6" s="2">
        <v>0</v>
      </c>
      <c r="AB6">
        <f t="shared" si="5"/>
        <v>0</v>
      </c>
      <c r="AC6" s="2">
        <v>0</v>
      </c>
      <c r="AD6" s="2">
        <v>0</v>
      </c>
      <c r="AE6" s="2">
        <v>0</v>
      </c>
      <c r="AF6" s="2">
        <v>0</v>
      </c>
      <c r="AG6" s="2">
        <v>0</v>
      </c>
      <c r="AH6" s="2">
        <v>0</v>
      </c>
      <c r="AI6" s="2">
        <v>0</v>
      </c>
      <c r="AJ6" s="2">
        <v>0</v>
      </c>
      <c r="AK6">
        <f t="shared" si="6"/>
        <v>1</v>
      </c>
      <c r="AL6" t="s">
        <v>139</v>
      </c>
    </row>
    <row r="7" spans="1:38" x14ac:dyDescent="0.35">
      <c r="A7">
        <v>11</v>
      </c>
      <c r="B7" t="s">
        <v>164</v>
      </c>
      <c r="C7">
        <v>1.47</v>
      </c>
      <c r="D7">
        <v>7</v>
      </c>
      <c r="E7" t="s">
        <v>161</v>
      </c>
      <c r="F7" t="s">
        <v>55</v>
      </c>
      <c r="G7" t="s">
        <v>165</v>
      </c>
      <c r="H7">
        <v>0</v>
      </c>
      <c r="I7" s="13">
        <v>1</v>
      </c>
      <c r="J7" s="2">
        <v>2</v>
      </c>
      <c r="K7">
        <v>1</v>
      </c>
      <c r="L7" s="2">
        <f t="shared" si="0"/>
        <v>-1</v>
      </c>
      <c r="M7">
        <v>9</v>
      </c>
      <c r="N7">
        <v>4</v>
      </c>
      <c r="O7">
        <f t="shared" si="1"/>
        <v>-5</v>
      </c>
      <c r="P7">
        <v>3</v>
      </c>
      <c r="Q7">
        <v>3</v>
      </c>
      <c r="R7">
        <f t="shared" si="2"/>
        <v>0</v>
      </c>
      <c r="S7">
        <v>1</v>
      </c>
      <c r="T7">
        <v>2</v>
      </c>
      <c r="U7">
        <f t="shared" si="3"/>
        <v>1</v>
      </c>
      <c r="V7">
        <v>1</v>
      </c>
      <c r="W7">
        <v>1</v>
      </c>
      <c r="X7">
        <f t="shared" si="4"/>
        <v>0</v>
      </c>
      <c r="Y7" s="5">
        <v>1</v>
      </c>
      <c r="Z7" s="5">
        <v>0</v>
      </c>
      <c r="AA7" s="5">
        <v>0</v>
      </c>
      <c r="AB7">
        <f t="shared" si="5"/>
        <v>0</v>
      </c>
      <c r="AC7" s="2">
        <v>0</v>
      </c>
      <c r="AD7" s="2">
        <v>0</v>
      </c>
      <c r="AE7" s="2">
        <v>0</v>
      </c>
      <c r="AF7" s="2">
        <v>1</v>
      </c>
      <c r="AG7" s="2">
        <v>0</v>
      </c>
      <c r="AH7" s="2">
        <v>0</v>
      </c>
      <c r="AI7" s="2">
        <v>0</v>
      </c>
      <c r="AJ7" s="2">
        <v>0</v>
      </c>
      <c r="AK7">
        <f t="shared" si="6"/>
        <v>0</v>
      </c>
      <c r="AL7" t="s">
        <v>3</v>
      </c>
    </row>
    <row r="8" spans="1:38" x14ac:dyDescent="0.35">
      <c r="A8">
        <v>12</v>
      </c>
      <c r="B8" t="s">
        <v>164</v>
      </c>
      <c r="C8">
        <v>1.47</v>
      </c>
      <c r="D8">
        <v>46</v>
      </c>
      <c r="E8" t="s">
        <v>161</v>
      </c>
      <c r="F8" t="s">
        <v>58</v>
      </c>
      <c r="G8" t="s">
        <v>165</v>
      </c>
      <c r="H8">
        <v>0</v>
      </c>
      <c r="I8" s="13">
        <v>0.5</v>
      </c>
      <c r="J8" s="2">
        <v>4</v>
      </c>
      <c r="K8">
        <v>4</v>
      </c>
      <c r="L8" s="2">
        <f t="shared" si="0"/>
        <v>0</v>
      </c>
      <c r="M8">
        <v>7</v>
      </c>
      <c r="N8">
        <v>7</v>
      </c>
      <c r="O8">
        <f t="shared" si="1"/>
        <v>0</v>
      </c>
      <c r="P8">
        <v>3</v>
      </c>
      <c r="Q8">
        <v>3</v>
      </c>
      <c r="R8">
        <f t="shared" si="2"/>
        <v>0</v>
      </c>
      <c r="S8">
        <v>2</v>
      </c>
      <c r="T8">
        <v>2</v>
      </c>
      <c r="U8">
        <f t="shared" si="3"/>
        <v>0</v>
      </c>
      <c r="V8">
        <v>2</v>
      </c>
      <c r="W8">
        <v>0</v>
      </c>
      <c r="X8">
        <f t="shared" si="4"/>
        <v>-2</v>
      </c>
      <c r="Y8" s="2">
        <v>0</v>
      </c>
      <c r="Z8" s="2">
        <v>1</v>
      </c>
      <c r="AA8" s="2">
        <v>0</v>
      </c>
      <c r="AB8">
        <f t="shared" si="5"/>
        <v>1</v>
      </c>
      <c r="AC8" s="2">
        <v>0</v>
      </c>
      <c r="AD8" s="2">
        <v>0</v>
      </c>
      <c r="AE8" s="2">
        <v>0</v>
      </c>
      <c r="AF8" s="2">
        <v>0</v>
      </c>
      <c r="AG8" s="2">
        <v>0</v>
      </c>
      <c r="AH8" s="2">
        <v>0</v>
      </c>
      <c r="AI8" s="2">
        <v>0</v>
      </c>
      <c r="AJ8" s="2">
        <v>0</v>
      </c>
      <c r="AK8">
        <f t="shared" si="6"/>
        <v>0</v>
      </c>
      <c r="AL8" t="s">
        <v>135</v>
      </c>
    </row>
    <row r="9" spans="1:38" x14ac:dyDescent="0.35">
      <c r="A9">
        <v>13</v>
      </c>
      <c r="B9" t="s">
        <v>13</v>
      </c>
      <c r="C9">
        <v>1.42</v>
      </c>
      <c r="D9" s="2">
        <v>4</v>
      </c>
      <c r="E9" t="s">
        <v>159</v>
      </c>
      <c r="F9" t="s">
        <v>54</v>
      </c>
      <c r="G9" t="s">
        <v>165</v>
      </c>
      <c r="H9">
        <v>0</v>
      </c>
      <c r="I9" s="13">
        <v>0.25</v>
      </c>
      <c r="J9" s="2">
        <v>2</v>
      </c>
      <c r="K9">
        <v>3</v>
      </c>
      <c r="L9" s="2">
        <f t="shared" si="0"/>
        <v>1</v>
      </c>
      <c r="M9">
        <v>2</v>
      </c>
      <c r="N9">
        <v>2</v>
      </c>
      <c r="O9">
        <f t="shared" si="1"/>
        <v>0</v>
      </c>
      <c r="P9">
        <v>1</v>
      </c>
      <c r="Q9">
        <v>1</v>
      </c>
      <c r="R9">
        <f t="shared" si="2"/>
        <v>0</v>
      </c>
      <c r="S9">
        <v>1</v>
      </c>
      <c r="T9">
        <v>1</v>
      </c>
      <c r="U9">
        <f t="shared" si="3"/>
        <v>0</v>
      </c>
      <c r="V9">
        <v>2</v>
      </c>
      <c r="W9">
        <v>2</v>
      </c>
      <c r="X9">
        <f t="shared" si="4"/>
        <v>0</v>
      </c>
      <c r="Y9" s="2">
        <v>0</v>
      </c>
      <c r="Z9" s="2">
        <v>0</v>
      </c>
      <c r="AA9" s="2">
        <v>0</v>
      </c>
      <c r="AB9">
        <f t="shared" si="5"/>
        <v>0</v>
      </c>
      <c r="AC9" s="2">
        <v>0</v>
      </c>
      <c r="AD9" s="2">
        <v>0</v>
      </c>
      <c r="AE9" s="2">
        <v>0</v>
      </c>
      <c r="AF9" s="2">
        <v>0</v>
      </c>
      <c r="AG9" s="2">
        <v>0</v>
      </c>
      <c r="AH9" s="2">
        <v>0</v>
      </c>
      <c r="AI9" s="2">
        <v>0</v>
      </c>
      <c r="AJ9" s="2">
        <v>0</v>
      </c>
      <c r="AK9">
        <f t="shared" si="6"/>
        <v>1</v>
      </c>
      <c r="AL9" t="s">
        <v>139</v>
      </c>
    </row>
    <row r="10" spans="1:38" x14ac:dyDescent="0.35">
      <c r="A10">
        <v>14</v>
      </c>
      <c r="B10" t="s">
        <v>163</v>
      </c>
      <c r="C10">
        <v>0.44</v>
      </c>
      <c r="D10" s="2">
        <v>4</v>
      </c>
      <c r="E10" t="s">
        <v>60</v>
      </c>
      <c r="F10" t="s">
        <v>52</v>
      </c>
      <c r="G10" t="s">
        <v>165</v>
      </c>
      <c r="H10">
        <v>0</v>
      </c>
      <c r="I10" s="13">
        <v>1</v>
      </c>
      <c r="J10" s="2">
        <v>3</v>
      </c>
      <c r="K10">
        <v>2</v>
      </c>
      <c r="L10" s="2">
        <f t="shared" si="0"/>
        <v>-1</v>
      </c>
      <c r="M10">
        <v>7</v>
      </c>
      <c r="N10">
        <v>3</v>
      </c>
      <c r="O10">
        <f t="shared" si="1"/>
        <v>-4</v>
      </c>
      <c r="P10">
        <v>2</v>
      </c>
      <c r="Q10">
        <v>2</v>
      </c>
      <c r="R10">
        <f t="shared" si="2"/>
        <v>0</v>
      </c>
      <c r="S10">
        <v>1</v>
      </c>
      <c r="T10">
        <v>3</v>
      </c>
      <c r="U10">
        <f t="shared" si="3"/>
        <v>2</v>
      </c>
      <c r="V10">
        <v>1</v>
      </c>
      <c r="W10">
        <v>1</v>
      </c>
      <c r="X10">
        <f t="shared" si="4"/>
        <v>0</v>
      </c>
      <c r="Y10" s="2">
        <v>0</v>
      </c>
      <c r="Z10" s="2">
        <v>0</v>
      </c>
      <c r="AA10" s="2">
        <v>0</v>
      </c>
      <c r="AB10">
        <f t="shared" si="5"/>
        <v>0</v>
      </c>
      <c r="AC10" s="2">
        <v>0</v>
      </c>
      <c r="AD10" s="2">
        <v>0</v>
      </c>
      <c r="AE10" s="2">
        <v>0</v>
      </c>
      <c r="AF10" s="2">
        <v>0</v>
      </c>
      <c r="AG10" s="2">
        <v>0</v>
      </c>
      <c r="AH10" s="2">
        <v>0</v>
      </c>
      <c r="AI10" s="2">
        <v>0</v>
      </c>
      <c r="AJ10" s="2">
        <v>0</v>
      </c>
      <c r="AK10">
        <f t="shared" si="6"/>
        <v>1</v>
      </c>
      <c r="AL10" t="s">
        <v>139</v>
      </c>
    </row>
    <row r="11" spans="1:38" x14ac:dyDescent="0.35">
      <c r="A11">
        <v>15</v>
      </c>
      <c r="B11" t="s">
        <v>17</v>
      </c>
      <c r="C11">
        <v>-0.04</v>
      </c>
      <c r="D11" s="2">
        <v>57</v>
      </c>
      <c r="E11" t="s">
        <v>159</v>
      </c>
      <c r="F11" t="s">
        <v>54</v>
      </c>
      <c r="G11" t="s">
        <v>165</v>
      </c>
      <c r="H11">
        <v>0</v>
      </c>
      <c r="I11" s="13">
        <v>0</v>
      </c>
      <c r="J11" s="2">
        <v>2</v>
      </c>
      <c r="K11">
        <v>2</v>
      </c>
      <c r="L11" s="2">
        <f t="shared" si="0"/>
        <v>0</v>
      </c>
      <c r="M11">
        <v>8</v>
      </c>
      <c r="N11">
        <v>8</v>
      </c>
      <c r="O11">
        <f t="shared" si="1"/>
        <v>0</v>
      </c>
      <c r="P11">
        <v>3</v>
      </c>
      <c r="Q11">
        <v>3</v>
      </c>
      <c r="R11">
        <f t="shared" si="2"/>
        <v>0</v>
      </c>
      <c r="S11">
        <v>1</v>
      </c>
      <c r="T11">
        <v>2</v>
      </c>
      <c r="U11">
        <f t="shared" si="3"/>
        <v>1</v>
      </c>
      <c r="V11">
        <v>1</v>
      </c>
      <c r="W11">
        <v>1</v>
      </c>
      <c r="X11">
        <f t="shared" si="4"/>
        <v>0</v>
      </c>
      <c r="Y11" s="2">
        <v>0</v>
      </c>
      <c r="Z11" s="2">
        <v>0</v>
      </c>
      <c r="AA11" s="2">
        <v>0</v>
      </c>
      <c r="AB11">
        <f t="shared" si="5"/>
        <v>0</v>
      </c>
      <c r="AC11" s="2">
        <v>0</v>
      </c>
      <c r="AD11" s="2">
        <v>1</v>
      </c>
      <c r="AE11" s="2">
        <v>0</v>
      </c>
      <c r="AF11" s="2">
        <v>1</v>
      </c>
      <c r="AG11" s="2">
        <v>0</v>
      </c>
      <c r="AH11" s="2">
        <v>0</v>
      </c>
      <c r="AI11" s="2">
        <v>1</v>
      </c>
      <c r="AJ11" s="2">
        <v>0</v>
      </c>
      <c r="AK11">
        <f t="shared" si="6"/>
        <v>0</v>
      </c>
      <c r="AL11" t="s">
        <v>139</v>
      </c>
    </row>
    <row r="12" spans="1:38" x14ac:dyDescent="0.35">
      <c r="A12">
        <v>16</v>
      </c>
      <c r="B12" t="s">
        <v>17</v>
      </c>
      <c r="C12">
        <v>-0.04</v>
      </c>
      <c r="D12" s="2">
        <v>13</v>
      </c>
      <c r="E12" t="s">
        <v>61</v>
      </c>
      <c r="F12" t="s">
        <v>54</v>
      </c>
      <c r="G12" t="s">
        <v>165</v>
      </c>
      <c r="H12">
        <v>0</v>
      </c>
      <c r="I12" s="13">
        <v>0.25</v>
      </c>
      <c r="J12" s="2">
        <v>3</v>
      </c>
      <c r="K12">
        <v>3</v>
      </c>
      <c r="L12" s="2">
        <f t="shared" si="0"/>
        <v>0</v>
      </c>
      <c r="M12">
        <v>8</v>
      </c>
      <c r="N12">
        <v>8</v>
      </c>
      <c r="O12">
        <f t="shared" si="1"/>
        <v>0</v>
      </c>
      <c r="P12">
        <v>1</v>
      </c>
      <c r="Q12">
        <v>1</v>
      </c>
      <c r="R12">
        <f t="shared" si="2"/>
        <v>0</v>
      </c>
      <c r="S12">
        <v>2</v>
      </c>
      <c r="T12">
        <v>2</v>
      </c>
      <c r="U12">
        <f t="shared" si="3"/>
        <v>0</v>
      </c>
      <c r="V12">
        <v>1</v>
      </c>
      <c r="W12">
        <v>1</v>
      </c>
      <c r="X12">
        <f t="shared" si="4"/>
        <v>0</v>
      </c>
      <c r="Y12" s="2">
        <v>1</v>
      </c>
      <c r="Z12" s="2">
        <v>1</v>
      </c>
      <c r="AA12" s="2">
        <v>1</v>
      </c>
      <c r="AB12">
        <f t="shared" si="5"/>
        <v>1</v>
      </c>
      <c r="AC12" s="2">
        <v>0</v>
      </c>
      <c r="AD12" s="2">
        <v>0</v>
      </c>
      <c r="AE12" s="2">
        <v>0</v>
      </c>
      <c r="AF12" s="2">
        <v>0</v>
      </c>
      <c r="AG12" s="2">
        <v>0</v>
      </c>
      <c r="AH12" s="2">
        <v>0</v>
      </c>
      <c r="AI12" s="2">
        <v>0</v>
      </c>
      <c r="AJ12" s="2">
        <v>0</v>
      </c>
      <c r="AK12">
        <f t="shared" si="6"/>
        <v>0</v>
      </c>
      <c r="AL12" t="s">
        <v>135</v>
      </c>
    </row>
    <row r="13" spans="1:38" x14ac:dyDescent="0.35">
      <c r="A13">
        <v>17</v>
      </c>
      <c r="B13" t="s">
        <v>17</v>
      </c>
      <c r="C13">
        <v>-0.04</v>
      </c>
      <c r="D13" s="2">
        <v>12</v>
      </c>
      <c r="E13" t="s">
        <v>61</v>
      </c>
      <c r="F13" t="s">
        <v>52</v>
      </c>
      <c r="G13" t="s">
        <v>165</v>
      </c>
      <c r="H13">
        <v>0</v>
      </c>
      <c r="I13" s="13">
        <v>0.25</v>
      </c>
      <c r="J13" s="2">
        <v>4</v>
      </c>
      <c r="K13">
        <v>4</v>
      </c>
      <c r="L13" s="2">
        <f t="shared" si="0"/>
        <v>0</v>
      </c>
      <c r="M13">
        <v>8</v>
      </c>
      <c r="N13">
        <v>8</v>
      </c>
      <c r="O13">
        <f t="shared" si="1"/>
        <v>0</v>
      </c>
      <c r="P13">
        <v>3</v>
      </c>
      <c r="Q13">
        <v>3</v>
      </c>
      <c r="R13">
        <f t="shared" si="2"/>
        <v>0</v>
      </c>
      <c r="S13">
        <v>1</v>
      </c>
      <c r="T13">
        <v>2</v>
      </c>
      <c r="U13">
        <f t="shared" si="3"/>
        <v>1</v>
      </c>
      <c r="V13">
        <v>1</v>
      </c>
      <c r="W13">
        <v>1</v>
      </c>
      <c r="X13">
        <f t="shared" si="4"/>
        <v>0</v>
      </c>
      <c r="Y13" s="2">
        <v>0</v>
      </c>
      <c r="Z13" s="2">
        <v>1</v>
      </c>
      <c r="AA13" s="2">
        <v>1</v>
      </c>
      <c r="AB13">
        <f t="shared" si="5"/>
        <v>1</v>
      </c>
      <c r="AC13" s="2">
        <v>1</v>
      </c>
      <c r="AD13" s="2">
        <v>1</v>
      </c>
      <c r="AE13" s="2">
        <v>0</v>
      </c>
      <c r="AF13" s="2">
        <v>1</v>
      </c>
      <c r="AG13" s="2">
        <v>0</v>
      </c>
      <c r="AH13" s="2">
        <v>0</v>
      </c>
      <c r="AI13" s="2">
        <v>1</v>
      </c>
      <c r="AJ13" s="2">
        <v>0</v>
      </c>
      <c r="AK13">
        <f t="shared" si="6"/>
        <v>0</v>
      </c>
      <c r="AL13" t="s">
        <v>8</v>
      </c>
    </row>
    <row r="14" spans="1:38" x14ac:dyDescent="0.35">
      <c r="A14">
        <v>19</v>
      </c>
      <c r="B14" t="s">
        <v>15</v>
      </c>
      <c r="C14">
        <v>1.61</v>
      </c>
      <c r="D14" s="2">
        <v>118</v>
      </c>
      <c r="E14" t="s">
        <v>51</v>
      </c>
      <c r="F14" t="s">
        <v>52</v>
      </c>
      <c r="G14" t="s">
        <v>166</v>
      </c>
      <c r="H14">
        <v>0</v>
      </c>
      <c r="I14" s="13">
        <v>0</v>
      </c>
      <c r="J14" s="2">
        <v>3</v>
      </c>
      <c r="K14">
        <v>3</v>
      </c>
      <c r="L14" s="2">
        <f t="shared" si="0"/>
        <v>0</v>
      </c>
      <c r="M14">
        <v>9</v>
      </c>
      <c r="N14">
        <v>9</v>
      </c>
      <c r="O14">
        <f t="shared" si="1"/>
        <v>0</v>
      </c>
      <c r="P14">
        <v>3</v>
      </c>
      <c r="Q14">
        <v>3</v>
      </c>
      <c r="R14">
        <f t="shared" si="2"/>
        <v>0</v>
      </c>
      <c r="S14">
        <v>1</v>
      </c>
      <c r="T14">
        <v>1</v>
      </c>
      <c r="U14">
        <f t="shared" si="3"/>
        <v>0</v>
      </c>
      <c r="V14">
        <v>1</v>
      </c>
      <c r="W14">
        <v>1</v>
      </c>
      <c r="X14">
        <f t="shared" si="4"/>
        <v>0</v>
      </c>
      <c r="Y14" s="2">
        <v>0</v>
      </c>
      <c r="Z14" s="5">
        <v>0</v>
      </c>
      <c r="AA14" s="5">
        <v>0</v>
      </c>
      <c r="AB14">
        <f t="shared" si="5"/>
        <v>0</v>
      </c>
      <c r="AC14" s="2">
        <v>0</v>
      </c>
      <c r="AD14" s="2">
        <v>0</v>
      </c>
      <c r="AE14" s="2">
        <v>0</v>
      </c>
      <c r="AF14" s="2">
        <v>0</v>
      </c>
      <c r="AG14" s="2">
        <v>0</v>
      </c>
      <c r="AH14" s="2">
        <v>0</v>
      </c>
      <c r="AI14" s="2">
        <v>0</v>
      </c>
      <c r="AJ14" s="2">
        <v>0</v>
      </c>
      <c r="AK14">
        <f t="shared" si="6"/>
        <v>1</v>
      </c>
      <c r="AL14" t="s">
        <v>139</v>
      </c>
    </row>
    <row r="15" spans="1:38" x14ac:dyDescent="0.35">
      <c r="A15">
        <v>20</v>
      </c>
      <c r="B15" t="s">
        <v>17</v>
      </c>
      <c r="C15">
        <v>-0.04</v>
      </c>
      <c r="D15" s="2">
        <v>60</v>
      </c>
      <c r="E15" t="s">
        <v>159</v>
      </c>
      <c r="F15" t="s">
        <v>52</v>
      </c>
      <c r="G15" t="s">
        <v>165</v>
      </c>
      <c r="H15">
        <v>0</v>
      </c>
      <c r="I15" s="13">
        <v>0.25</v>
      </c>
      <c r="J15" s="2">
        <v>5</v>
      </c>
      <c r="K15">
        <v>5</v>
      </c>
      <c r="L15" s="2">
        <f t="shared" si="0"/>
        <v>0</v>
      </c>
      <c r="M15">
        <v>9</v>
      </c>
      <c r="N15">
        <v>9</v>
      </c>
      <c r="O15">
        <f t="shared" si="1"/>
        <v>0</v>
      </c>
      <c r="P15">
        <v>2</v>
      </c>
      <c r="Q15">
        <v>2</v>
      </c>
      <c r="R15">
        <f t="shared" si="2"/>
        <v>0</v>
      </c>
      <c r="S15">
        <v>1</v>
      </c>
      <c r="T15">
        <v>2</v>
      </c>
      <c r="U15">
        <f t="shared" si="3"/>
        <v>1</v>
      </c>
      <c r="V15">
        <v>1</v>
      </c>
      <c r="W15">
        <v>1</v>
      </c>
      <c r="X15">
        <f t="shared" si="4"/>
        <v>0</v>
      </c>
      <c r="Y15" s="2">
        <v>0</v>
      </c>
      <c r="Z15" s="2">
        <v>0</v>
      </c>
      <c r="AA15" s="2">
        <v>0</v>
      </c>
      <c r="AB15">
        <f t="shared" si="5"/>
        <v>0</v>
      </c>
      <c r="AC15" s="2">
        <v>0</v>
      </c>
      <c r="AD15" s="2">
        <v>1</v>
      </c>
      <c r="AE15" s="2">
        <v>0</v>
      </c>
      <c r="AF15" s="2">
        <v>0</v>
      </c>
      <c r="AG15" s="2">
        <v>0</v>
      </c>
      <c r="AH15" s="2">
        <v>0</v>
      </c>
      <c r="AI15" s="2">
        <v>0</v>
      </c>
      <c r="AJ15" s="2">
        <v>0</v>
      </c>
      <c r="AK15">
        <f t="shared" si="6"/>
        <v>0</v>
      </c>
      <c r="AL15" t="s">
        <v>5</v>
      </c>
    </row>
    <row r="16" spans="1:38" x14ac:dyDescent="0.35">
      <c r="A16">
        <v>21</v>
      </c>
      <c r="B16" t="s">
        <v>163</v>
      </c>
      <c r="C16">
        <v>0.44</v>
      </c>
      <c r="D16" s="2">
        <v>11</v>
      </c>
      <c r="E16" t="s">
        <v>140</v>
      </c>
      <c r="F16" t="s">
        <v>54</v>
      </c>
      <c r="G16" t="s">
        <v>165</v>
      </c>
      <c r="H16">
        <v>0</v>
      </c>
      <c r="I16" s="13">
        <v>0</v>
      </c>
      <c r="J16" s="2">
        <v>2</v>
      </c>
      <c r="K16">
        <v>2</v>
      </c>
      <c r="L16" s="2">
        <f t="shared" si="0"/>
        <v>0</v>
      </c>
      <c r="M16">
        <v>7</v>
      </c>
      <c r="N16">
        <v>5</v>
      </c>
      <c r="O16">
        <f t="shared" si="1"/>
        <v>-2</v>
      </c>
      <c r="P16">
        <v>1</v>
      </c>
      <c r="Q16">
        <v>1</v>
      </c>
      <c r="R16">
        <f t="shared" si="2"/>
        <v>0</v>
      </c>
      <c r="S16">
        <v>2</v>
      </c>
      <c r="T16">
        <v>2</v>
      </c>
      <c r="U16">
        <f t="shared" si="3"/>
        <v>0</v>
      </c>
      <c r="V16">
        <v>1</v>
      </c>
      <c r="W16">
        <v>1</v>
      </c>
      <c r="X16">
        <f t="shared" si="4"/>
        <v>0</v>
      </c>
      <c r="Y16" s="2">
        <v>0</v>
      </c>
      <c r="Z16" s="2">
        <v>0</v>
      </c>
      <c r="AA16" s="2">
        <v>0</v>
      </c>
      <c r="AB16">
        <f t="shared" si="5"/>
        <v>0</v>
      </c>
      <c r="AC16" s="2">
        <v>0</v>
      </c>
      <c r="AD16" s="2">
        <v>0</v>
      </c>
      <c r="AE16" s="2">
        <v>0</v>
      </c>
      <c r="AF16" s="2">
        <v>1</v>
      </c>
      <c r="AG16" s="2">
        <v>0</v>
      </c>
      <c r="AH16" s="2">
        <v>0</v>
      </c>
      <c r="AI16" s="2">
        <v>1</v>
      </c>
      <c r="AJ16" s="2">
        <v>0</v>
      </c>
      <c r="AK16">
        <f t="shared" si="6"/>
        <v>0</v>
      </c>
      <c r="AL16" t="s">
        <v>8</v>
      </c>
    </row>
    <row r="17" spans="1:38" x14ac:dyDescent="0.35">
      <c r="A17">
        <v>22</v>
      </c>
      <c r="B17" t="s">
        <v>15</v>
      </c>
      <c r="C17">
        <v>1.61</v>
      </c>
      <c r="D17">
        <v>63</v>
      </c>
      <c r="E17" t="s">
        <v>51</v>
      </c>
      <c r="F17" t="s">
        <v>52</v>
      </c>
      <c r="G17" t="s">
        <v>165</v>
      </c>
      <c r="H17">
        <v>0</v>
      </c>
      <c r="I17" s="13">
        <v>0</v>
      </c>
      <c r="J17" s="2">
        <v>5</v>
      </c>
      <c r="K17">
        <v>5</v>
      </c>
      <c r="L17" s="2">
        <f t="shared" si="0"/>
        <v>0</v>
      </c>
      <c r="M17">
        <v>1</v>
      </c>
      <c r="N17">
        <v>1</v>
      </c>
      <c r="O17">
        <f t="shared" si="1"/>
        <v>0</v>
      </c>
      <c r="P17">
        <v>2</v>
      </c>
      <c r="Q17">
        <v>2</v>
      </c>
      <c r="R17">
        <f t="shared" si="2"/>
        <v>0</v>
      </c>
      <c r="S17">
        <v>1</v>
      </c>
      <c r="T17">
        <v>1</v>
      </c>
      <c r="U17">
        <f t="shared" si="3"/>
        <v>0</v>
      </c>
      <c r="V17">
        <v>0</v>
      </c>
      <c r="W17">
        <v>0</v>
      </c>
      <c r="X17">
        <f t="shared" si="4"/>
        <v>0</v>
      </c>
      <c r="Y17" s="2">
        <v>0</v>
      </c>
      <c r="Z17" s="5">
        <v>0</v>
      </c>
      <c r="AA17" s="5">
        <v>0</v>
      </c>
      <c r="AB17">
        <f t="shared" si="5"/>
        <v>0</v>
      </c>
      <c r="AC17" s="2">
        <v>0</v>
      </c>
      <c r="AD17" s="2">
        <v>0</v>
      </c>
      <c r="AE17" s="2">
        <v>0</v>
      </c>
      <c r="AF17" s="2">
        <v>0</v>
      </c>
      <c r="AG17" s="2">
        <v>0</v>
      </c>
      <c r="AH17" s="2">
        <v>0</v>
      </c>
      <c r="AI17" s="2">
        <v>0</v>
      </c>
      <c r="AJ17" s="2">
        <v>0</v>
      </c>
      <c r="AK17">
        <f t="shared" si="6"/>
        <v>1</v>
      </c>
      <c r="AL17" t="s">
        <v>139</v>
      </c>
    </row>
    <row r="18" spans="1:38" x14ac:dyDescent="0.35">
      <c r="A18">
        <v>23</v>
      </c>
      <c r="B18" t="s">
        <v>164</v>
      </c>
      <c r="C18">
        <v>1.47</v>
      </c>
      <c r="D18" s="2">
        <v>29</v>
      </c>
      <c r="E18" t="s">
        <v>161</v>
      </c>
      <c r="F18" t="s">
        <v>55</v>
      </c>
      <c r="G18" t="s">
        <v>165</v>
      </c>
      <c r="H18">
        <v>0</v>
      </c>
      <c r="I18" s="13">
        <v>1</v>
      </c>
      <c r="J18" s="2">
        <v>7</v>
      </c>
      <c r="K18">
        <v>6</v>
      </c>
      <c r="L18" s="2">
        <f t="shared" si="0"/>
        <v>-1</v>
      </c>
      <c r="M18">
        <v>8</v>
      </c>
      <c r="N18">
        <v>6</v>
      </c>
      <c r="O18">
        <f t="shared" si="1"/>
        <v>-2</v>
      </c>
      <c r="P18">
        <v>3</v>
      </c>
      <c r="Q18">
        <v>3</v>
      </c>
      <c r="R18">
        <f t="shared" si="2"/>
        <v>0</v>
      </c>
      <c r="S18">
        <v>1</v>
      </c>
      <c r="T18">
        <v>1</v>
      </c>
      <c r="U18">
        <f t="shared" si="3"/>
        <v>0</v>
      </c>
      <c r="V18">
        <v>1</v>
      </c>
      <c r="W18">
        <v>1</v>
      </c>
      <c r="X18">
        <f t="shared" si="4"/>
        <v>0</v>
      </c>
      <c r="Y18" s="2">
        <v>0</v>
      </c>
      <c r="Z18" s="2">
        <v>0</v>
      </c>
      <c r="AA18" s="2">
        <v>0</v>
      </c>
      <c r="AB18">
        <f t="shared" si="5"/>
        <v>0</v>
      </c>
      <c r="AC18" s="2">
        <v>0</v>
      </c>
      <c r="AD18" s="2">
        <v>0</v>
      </c>
      <c r="AE18" s="2">
        <v>0</v>
      </c>
      <c r="AF18" s="2">
        <v>1</v>
      </c>
      <c r="AG18" s="2">
        <v>0</v>
      </c>
      <c r="AH18" s="2">
        <v>0</v>
      </c>
      <c r="AI18" s="2">
        <v>0</v>
      </c>
      <c r="AJ18" s="2">
        <v>1</v>
      </c>
      <c r="AK18">
        <f t="shared" si="6"/>
        <v>0</v>
      </c>
      <c r="AL18" t="s">
        <v>139</v>
      </c>
    </row>
    <row r="19" spans="1:38" x14ac:dyDescent="0.35">
      <c r="A19">
        <v>24</v>
      </c>
      <c r="B19" t="s">
        <v>17</v>
      </c>
      <c r="C19">
        <v>-0.04</v>
      </c>
      <c r="D19" s="2">
        <v>93</v>
      </c>
      <c r="E19" t="s">
        <v>159</v>
      </c>
      <c r="F19" t="s">
        <v>52</v>
      </c>
      <c r="G19" t="s">
        <v>166</v>
      </c>
      <c r="H19">
        <v>0</v>
      </c>
      <c r="I19" s="13">
        <v>0.25</v>
      </c>
      <c r="J19" s="2">
        <v>4</v>
      </c>
      <c r="K19">
        <v>4</v>
      </c>
      <c r="L19" s="2">
        <f t="shared" si="0"/>
        <v>0</v>
      </c>
      <c r="M19">
        <v>8</v>
      </c>
      <c r="N19">
        <v>7</v>
      </c>
      <c r="O19">
        <f t="shared" si="1"/>
        <v>-1</v>
      </c>
      <c r="P19">
        <v>2</v>
      </c>
      <c r="Q19">
        <v>2</v>
      </c>
      <c r="R19">
        <f t="shared" si="2"/>
        <v>0</v>
      </c>
      <c r="S19">
        <v>2</v>
      </c>
      <c r="T19">
        <v>2</v>
      </c>
      <c r="U19">
        <f t="shared" si="3"/>
        <v>0</v>
      </c>
      <c r="V19">
        <v>0</v>
      </c>
      <c r="W19">
        <v>0</v>
      </c>
      <c r="X19">
        <f t="shared" si="4"/>
        <v>0</v>
      </c>
      <c r="Y19" s="2">
        <v>0</v>
      </c>
      <c r="Z19" s="2">
        <v>1</v>
      </c>
      <c r="AA19" s="2">
        <v>0</v>
      </c>
      <c r="AB19">
        <f t="shared" si="5"/>
        <v>1</v>
      </c>
      <c r="AC19" s="2">
        <v>0</v>
      </c>
      <c r="AD19" s="2">
        <v>1</v>
      </c>
      <c r="AE19" s="2">
        <v>0</v>
      </c>
      <c r="AF19" s="2">
        <v>1</v>
      </c>
      <c r="AG19" s="2">
        <v>0</v>
      </c>
      <c r="AH19" s="2">
        <v>0</v>
      </c>
      <c r="AI19" s="2">
        <v>0</v>
      </c>
      <c r="AJ19" s="2">
        <v>0</v>
      </c>
      <c r="AK19">
        <f t="shared" si="6"/>
        <v>0</v>
      </c>
      <c r="AL19" t="s">
        <v>135</v>
      </c>
    </row>
    <row r="20" spans="1:38" x14ac:dyDescent="0.35">
      <c r="A20">
        <v>25</v>
      </c>
      <c r="B20" t="s">
        <v>15</v>
      </c>
      <c r="C20">
        <v>1.61</v>
      </c>
      <c r="D20">
        <v>66</v>
      </c>
      <c r="E20" t="s">
        <v>140</v>
      </c>
      <c r="F20" t="s">
        <v>54</v>
      </c>
      <c r="G20" t="s">
        <v>165</v>
      </c>
      <c r="H20">
        <v>0</v>
      </c>
      <c r="I20" s="13">
        <v>0.5</v>
      </c>
      <c r="J20" s="2">
        <v>3</v>
      </c>
      <c r="K20">
        <v>3</v>
      </c>
      <c r="L20" s="2">
        <f t="shared" si="0"/>
        <v>0</v>
      </c>
      <c r="M20">
        <v>8</v>
      </c>
      <c r="N20">
        <v>7</v>
      </c>
      <c r="O20">
        <f t="shared" si="1"/>
        <v>-1</v>
      </c>
      <c r="P20">
        <v>2</v>
      </c>
      <c r="Q20">
        <v>2</v>
      </c>
      <c r="R20">
        <f t="shared" si="2"/>
        <v>0</v>
      </c>
      <c r="S20">
        <v>4</v>
      </c>
      <c r="T20">
        <v>2</v>
      </c>
      <c r="U20">
        <f t="shared" si="3"/>
        <v>-2</v>
      </c>
      <c r="V20">
        <v>0</v>
      </c>
      <c r="W20">
        <v>0</v>
      </c>
      <c r="X20">
        <f t="shared" si="4"/>
        <v>0</v>
      </c>
      <c r="Y20" s="2">
        <v>0</v>
      </c>
      <c r="Z20" s="5">
        <v>1</v>
      </c>
      <c r="AA20" s="5">
        <v>1</v>
      </c>
      <c r="AB20">
        <f t="shared" si="5"/>
        <v>1</v>
      </c>
      <c r="AC20" s="2">
        <v>0</v>
      </c>
      <c r="AD20" s="2">
        <v>1</v>
      </c>
      <c r="AE20" s="2">
        <v>0</v>
      </c>
      <c r="AF20" s="2">
        <v>1</v>
      </c>
      <c r="AG20" s="2">
        <v>0</v>
      </c>
      <c r="AH20" s="2">
        <v>0</v>
      </c>
      <c r="AI20" s="2">
        <v>1</v>
      </c>
      <c r="AJ20" s="2">
        <v>0</v>
      </c>
      <c r="AK20">
        <f t="shared" si="6"/>
        <v>0</v>
      </c>
      <c r="AL20" t="s">
        <v>135</v>
      </c>
    </row>
    <row r="21" spans="1:38" x14ac:dyDescent="0.35">
      <c r="A21">
        <v>26</v>
      </c>
      <c r="B21" t="s">
        <v>13</v>
      </c>
      <c r="C21">
        <v>1.42</v>
      </c>
      <c r="D21" s="2">
        <v>23</v>
      </c>
      <c r="E21" t="s">
        <v>159</v>
      </c>
      <c r="F21" t="s">
        <v>52</v>
      </c>
      <c r="G21" t="s">
        <v>165</v>
      </c>
      <c r="H21">
        <v>0</v>
      </c>
      <c r="I21" s="13">
        <v>0.75</v>
      </c>
      <c r="J21" s="2">
        <v>3</v>
      </c>
      <c r="K21">
        <v>3</v>
      </c>
      <c r="L21" s="2">
        <f t="shared" si="0"/>
        <v>0</v>
      </c>
      <c r="M21">
        <v>6</v>
      </c>
      <c r="N21">
        <v>3</v>
      </c>
      <c r="O21">
        <f t="shared" si="1"/>
        <v>-3</v>
      </c>
      <c r="P21">
        <v>2</v>
      </c>
      <c r="Q21">
        <v>2</v>
      </c>
      <c r="R21">
        <f t="shared" si="2"/>
        <v>0</v>
      </c>
      <c r="S21">
        <v>4</v>
      </c>
      <c r="T21">
        <v>4</v>
      </c>
      <c r="U21">
        <f t="shared" si="3"/>
        <v>0</v>
      </c>
      <c r="V21">
        <v>0</v>
      </c>
      <c r="W21">
        <v>0</v>
      </c>
      <c r="X21">
        <f t="shared" si="4"/>
        <v>0</v>
      </c>
      <c r="Y21" s="2">
        <v>0</v>
      </c>
      <c r="Z21" s="2">
        <v>0</v>
      </c>
      <c r="AA21" s="2">
        <v>0</v>
      </c>
      <c r="AB21">
        <f t="shared" si="5"/>
        <v>0</v>
      </c>
      <c r="AC21" s="2">
        <v>0</v>
      </c>
      <c r="AD21" s="2">
        <v>0</v>
      </c>
      <c r="AE21" s="2">
        <v>0</v>
      </c>
      <c r="AF21" s="2">
        <v>0</v>
      </c>
      <c r="AG21" s="2">
        <v>0</v>
      </c>
      <c r="AH21" s="2">
        <v>0</v>
      </c>
      <c r="AI21" s="2">
        <v>0</v>
      </c>
      <c r="AJ21" s="2">
        <v>0</v>
      </c>
      <c r="AK21">
        <f t="shared" si="6"/>
        <v>1</v>
      </c>
      <c r="AL21" t="s">
        <v>139</v>
      </c>
    </row>
    <row r="22" spans="1:38" x14ac:dyDescent="0.35">
      <c r="A22">
        <v>27</v>
      </c>
      <c r="B22" t="s">
        <v>17</v>
      </c>
      <c r="C22">
        <v>-0.04</v>
      </c>
      <c r="D22" s="5">
        <v>14</v>
      </c>
      <c r="E22" t="s">
        <v>140</v>
      </c>
      <c r="F22" t="s">
        <v>52</v>
      </c>
      <c r="G22" t="s">
        <v>165</v>
      </c>
      <c r="H22">
        <v>0</v>
      </c>
      <c r="I22" s="13">
        <v>0.5</v>
      </c>
      <c r="J22" s="2">
        <v>5</v>
      </c>
      <c r="K22">
        <v>5</v>
      </c>
      <c r="L22" s="2">
        <f t="shared" si="0"/>
        <v>0</v>
      </c>
      <c r="M22">
        <v>7</v>
      </c>
      <c r="N22">
        <v>6</v>
      </c>
      <c r="O22">
        <f t="shared" si="1"/>
        <v>-1</v>
      </c>
      <c r="P22">
        <v>3</v>
      </c>
      <c r="Q22">
        <v>3</v>
      </c>
      <c r="R22">
        <f t="shared" si="2"/>
        <v>0</v>
      </c>
      <c r="S22">
        <v>3</v>
      </c>
      <c r="T22">
        <v>1</v>
      </c>
      <c r="U22">
        <f t="shared" si="3"/>
        <v>-2</v>
      </c>
      <c r="V22">
        <v>1</v>
      </c>
      <c r="W22">
        <v>1</v>
      </c>
      <c r="X22">
        <f t="shared" si="4"/>
        <v>0</v>
      </c>
      <c r="Y22" s="2">
        <v>0</v>
      </c>
      <c r="Z22" s="2">
        <v>0</v>
      </c>
      <c r="AA22" s="2">
        <v>0</v>
      </c>
      <c r="AB22">
        <f t="shared" si="5"/>
        <v>0</v>
      </c>
      <c r="AC22" s="2">
        <v>0</v>
      </c>
      <c r="AD22" s="2">
        <v>1</v>
      </c>
      <c r="AE22" s="2">
        <v>0</v>
      </c>
      <c r="AF22" s="2">
        <v>1</v>
      </c>
      <c r="AG22" s="2">
        <v>0</v>
      </c>
      <c r="AH22" s="2">
        <v>0</v>
      </c>
      <c r="AI22" s="2">
        <v>1</v>
      </c>
      <c r="AJ22" s="2">
        <v>0</v>
      </c>
      <c r="AK22">
        <f t="shared" si="6"/>
        <v>0</v>
      </c>
      <c r="AL22" s="9" t="s">
        <v>38</v>
      </c>
    </row>
    <row r="23" spans="1:38" x14ac:dyDescent="0.35">
      <c r="A23">
        <v>29</v>
      </c>
      <c r="B23" t="s">
        <v>164</v>
      </c>
      <c r="C23">
        <v>1.47</v>
      </c>
      <c r="D23">
        <v>24</v>
      </c>
      <c r="E23" t="s">
        <v>161</v>
      </c>
      <c r="F23" t="s">
        <v>55</v>
      </c>
      <c r="G23" t="s">
        <v>166</v>
      </c>
      <c r="H23">
        <v>0</v>
      </c>
      <c r="I23" s="13">
        <v>0.5</v>
      </c>
      <c r="J23" s="2">
        <v>4</v>
      </c>
      <c r="K23">
        <v>4</v>
      </c>
      <c r="L23" s="2">
        <f t="shared" si="0"/>
        <v>0</v>
      </c>
      <c r="M23">
        <v>3</v>
      </c>
      <c r="N23">
        <v>3</v>
      </c>
      <c r="O23">
        <f t="shared" si="1"/>
        <v>0</v>
      </c>
      <c r="P23">
        <v>3</v>
      </c>
      <c r="Q23">
        <v>3</v>
      </c>
      <c r="R23">
        <f t="shared" si="2"/>
        <v>0</v>
      </c>
      <c r="S23">
        <v>1</v>
      </c>
      <c r="T23">
        <v>2</v>
      </c>
      <c r="U23">
        <f t="shared" si="3"/>
        <v>1</v>
      </c>
      <c r="V23">
        <v>1</v>
      </c>
      <c r="W23">
        <v>1</v>
      </c>
      <c r="X23">
        <f t="shared" si="4"/>
        <v>0</v>
      </c>
      <c r="Y23" s="2">
        <v>0</v>
      </c>
      <c r="Z23" s="2">
        <v>0</v>
      </c>
      <c r="AA23" s="2">
        <v>0</v>
      </c>
      <c r="AB23">
        <f t="shared" si="5"/>
        <v>0</v>
      </c>
      <c r="AC23" s="2">
        <v>0</v>
      </c>
      <c r="AD23" s="2">
        <v>1</v>
      </c>
      <c r="AE23" s="2">
        <v>0</v>
      </c>
      <c r="AF23" s="2">
        <v>1</v>
      </c>
      <c r="AG23" s="2">
        <v>0</v>
      </c>
      <c r="AH23" s="2">
        <v>0</v>
      </c>
      <c r="AI23" s="2">
        <v>1</v>
      </c>
      <c r="AJ23" s="2">
        <v>0</v>
      </c>
      <c r="AK23">
        <f t="shared" si="6"/>
        <v>0</v>
      </c>
      <c r="AL23" t="s">
        <v>139</v>
      </c>
    </row>
    <row r="24" spans="1:38" x14ac:dyDescent="0.35">
      <c r="A24">
        <v>30</v>
      </c>
      <c r="B24" t="s">
        <v>15</v>
      </c>
      <c r="C24">
        <v>1.61</v>
      </c>
      <c r="D24" s="2">
        <v>117</v>
      </c>
      <c r="E24" t="s">
        <v>51</v>
      </c>
      <c r="F24" t="s">
        <v>58</v>
      </c>
      <c r="G24" t="s">
        <v>166</v>
      </c>
      <c r="H24">
        <v>0</v>
      </c>
      <c r="I24" s="13">
        <v>0.25</v>
      </c>
      <c r="J24" s="2">
        <v>9</v>
      </c>
      <c r="K24">
        <v>10</v>
      </c>
      <c r="L24" s="2">
        <f t="shared" si="0"/>
        <v>1</v>
      </c>
      <c r="M24">
        <v>9</v>
      </c>
      <c r="N24">
        <v>8</v>
      </c>
      <c r="O24">
        <f t="shared" si="1"/>
        <v>-1</v>
      </c>
      <c r="P24">
        <v>2</v>
      </c>
      <c r="Q24">
        <v>2</v>
      </c>
      <c r="R24">
        <f t="shared" si="2"/>
        <v>0</v>
      </c>
      <c r="S24">
        <v>1</v>
      </c>
      <c r="T24">
        <v>2</v>
      </c>
      <c r="U24">
        <f t="shared" si="3"/>
        <v>1</v>
      </c>
      <c r="V24">
        <v>0</v>
      </c>
      <c r="W24">
        <v>0</v>
      </c>
      <c r="X24">
        <f t="shared" si="4"/>
        <v>0</v>
      </c>
      <c r="Y24" s="2">
        <v>0</v>
      </c>
      <c r="Z24" s="5">
        <v>1</v>
      </c>
      <c r="AA24" s="5">
        <v>0</v>
      </c>
      <c r="AB24">
        <f t="shared" si="5"/>
        <v>1</v>
      </c>
      <c r="AC24" s="2">
        <v>0</v>
      </c>
      <c r="AD24" s="2">
        <v>1</v>
      </c>
      <c r="AE24" s="2">
        <v>0</v>
      </c>
      <c r="AF24" s="2">
        <v>1</v>
      </c>
      <c r="AG24" s="2">
        <v>0</v>
      </c>
      <c r="AH24" s="2">
        <v>0</v>
      </c>
      <c r="AI24" s="2">
        <v>1</v>
      </c>
      <c r="AJ24" s="2">
        <v>0</v>
      </c>
      <c r="AK24">
        <f t="shared" si="6"/>
        <v>0</v>
      </c>
      <c r="AL24" t="s">
        <v>5</v>
      </c>
    </row>
    <row r="25" spans="1:38" x14ac:dyDescent="0.35">
      <c r="A25">
        <v>31</v>
      </c>
      <c r="B25" t="s">
        <v>163</v>
      </c>
      <c r="C25">
        <v>0.44</v>
      </c>
      <c r="D25" s="2">
        <v>6</v>
      </c>
      <c r="E25" t="s">
        <v>161</v>
      </c>
      <c r="F25" t="s">
        <v>54</v>
      </c>
      <c r="G25" t="s">
        <v>165</v>
      </c>
      <c r="H25">
        <v>0</v>
      </c>
      <c r="I25" s="13">
        <v>0.25</v>
      </c>
      <c r="J25" s="2">
        <v>3</v>
      </c>
      <c r="K25">
        <v>3</v>
      </c>
      <c r="L25" s="2">
        <f t="shared" si="0"/>
        <v>0</v>
      </c>
      <c r="M25">
        <v>5</v>
      </c>
      <c r="N25">
        <v>5</v>
      </c>
      <c r="O25">
        <f t="shared" si="1"/>
        <v>0</v>
      </c>
      <c r="P25">
        <v>1</v>
      </c>
      <c r="Q25">
        <v>1</v>
      </c>
      <c r="R25">
        <f t="shared" si="2"/>
        <v>0</v>
      </c>
      <c r="S25">
        <v>2</v>
      </c>
      <c r="T25">
        <v>2</v>
      </c>
      <c r="U25">
        <f t="shared" si="3"/>
        <v>0</v>
      </c>
      <c r="V25">
        <v>1</v>
      </c>
      <c r="W25">
        <v>1</v>
      </c>
      <c r="X25">
        <f t="shared" si="4"/>
        <v>0</v>
      </c>
      <c r="Y25" s="2">
        <v>0</v>
      </c>
      <c r="Z25" s="2">
        <v>0</v>
      </c>
      <c r="AA25" s="2">
        <v>0</v>
      </c>
      <c r="AB25">
        <f t="shared" si="5"/>
        <v>0</v>
      </c>
      <c r="AC25" s="2">
        <v>0</v>
      </c>
      <c r="AD25" s="2">
        <v>0</v>
      </c>
      <c r="AE25" s="2">
        <v>0</v>
      </c>
      <c r="AF25" s="2">
        <v>1</v>
      </c>
      <c r="AG25" s="2">
        <v>0</v>
      </c>
      <c r="AH25" s="2">
        <v>0</v>
      </c>
      <c r="AI25" s="2">
        <v>0</v>
      </c>
      <c r="AJ25" s="2">
        <v>0</v>
      </c>
      <c r="AK25">
        <f t="shared" si="6"/>
        <v>0</v>
      </c>
      <c r="AL25" t="s">
        <v>139</v>
      </c>
    </row>
    <row r="26" spans="1:38" x14ac:dyDescent="0.35">
      <c r="A26">
        <v>32</v>
      </c>
      <c r="B26" t="s">
        <v>164</v>
      </c>
      <c r="C26">
        <v>1.47</v>
      </c>
      <c r="D26" s="2">
        <v>46</v>
      </c>
      <c r="E26" t="s">
        <v>161</v>
      </c>
      <c r="F26" t="s">
        <v>55</v>
      </c>
      <c r="G26" t="s">
        <v>166</v>
      </c>
      <c r="H26">
        <v>0</v>
      </c>
      <c r="I26" s="13">
        <v>0</v>
      </c>
      <c r="J26" s="2">
        <v>3</v>
      </c>
      <c r="K26">
        <v>3</v>
      </c>
      <c r="L26" s="2">
        <f t="shared" si="0"/>
        <v>0</v>
      </c>
      <c r="M26">
        <v>8</v>
      </c>
      <c r="N26">
        <v>8</v>
      </c>
      <c r="O26">
        <f t="shared" si="1"/>
        <v>0</v>
      </c>
      <c r="P26">
        <v>2</v>
      </c>
      <c r="Q26">
        <v>2</v>
      </c>
      <c r="R26">
        <f t="shared" si="2"/>
        <v>0</v>
      </c>
      <c r="S26">
        <v>1</v>
      </c>
      <c r="T26">
        <v>1</v>
      </c>
      <c r="U26">
        <f t="shared" si="3"/>
        <v>0</v>
      </c>
      <c r="V26">
        <v>1</v>
      </c>
      <c r="W26">
        <v>1</v>
      </c>
      <c r="X26">
        <f t="shared" si="4"/>
        <v>0</v>
      </c>
      <c r="Y26" s="2">
        <v>0</v>
      </c>
      <c r="Z26" s="2">
        <v>0</v>
      </c>
      <c r="AA26" s="2">
        <v>0</v>
      </c>
      <c r="AB26">
        <f t="shared" si="5"/>
        <v>0</v>
      </c>
      <c r="AC26" s="2">
        <v>0</v>
      </c>
      <c r="AD26" s="2">
        <v>1</v>
      </c>
      <c r="AE26" s="2">
        <v>0</v>
      </c>
      <c r="AF26" s="2">
        <v>1</v>
      </c>
      <c r="AG26" s="2">
        <v>0</v>
      </c>
      <c r="AH26" s="2">
        <v>0</v>
      </c>
      <c r="AI26" s="2">
        <v>1</v>
      </c>
      <c r="AJ26" s="2">
        <v>0</v>
      </c>
      <c r="AK26">
        <f t="shared" si="6"/>
        <v>0</v>
      </c>
      <c r="AL26" t="s">
        <v>5</v>
      </c>
    </row>
    <row r="27" spans="1:38" x14ac:dyDescent="0.35">
      <c r="A27">
        <v>33</v>
      </c>
      <c r="B27" t="s">
        <v>163</v>
      </c>
      <c r="C27">
        <v>0.44</v>
      </c>
      <c r="D27" s="5">
        <v>12</v>
      </c>
      <c r="E27" t="s">
        <v>60</v>
      </c>
      <c r="F27" t="s">
        <v>52</v>
      </c>
      <c r="G27" t="s">
        <v>165</v>
      </c>
      <c r="H27">
        <v>0</v>
      </c>
      <c r="I27" s="13">
        <v>0</v>
      </c>
      <c r="J27" s="2">
        <v>3</v>
      </c>
      <c r="K27">
        <v>3</v>
      </c>
      <c r="L27" s="2">
        <f t="shared" si="0"/>
        <v>0</v>
      </c>
      <c r="M27">
        <v>5</v>
      </c>
      <c r="N27">
        <v>5</v>
      </c>
      <c r="O27">
        <f t="shared" si="1"/>
        <v>0</v>
      </c>
      <c r="P27">
        <v>3</v>
      </c>
      <c r="Q27">
        <v>3</v>
      </c>
      <c r="R27">
        <f t="shared" si="2"/>
        <v>0</v>
      </c>
      <c r="S27">
        <v>3</v>
      </c>
      <c r="T27">
        <v>3</v>
      </c>
      <c r="U27">
        <f t="shared" si="3"/>
        <v>0</v>
      </c>
      <c r="V27">
        <v>1</v>
      </c>
      <c r="W27">
        <v>1</v>
      </c>
      <c r="X27">
        <f t="shared" si="4"/>
        <v>0</v>
      </c>
      <c r="Y27" s="2">
        <v>0</v>
      </c>
      <c r="Z27" s="2">
        <v>0</v>
      </c>
      <c r="AA27" s="2">
        <v>0</v>
      </c>
      <c r="AB27">
        <f t="shared" si="5"/>
        <v>0</v>
      </c>
      <c r="AC27" s="2">
        <v>0</v>
      </c>
      <c r="AD27" s="2">
        <v>1</v>
      </c>
      <c r="AE27" s="2">
        <v>0</v>
      </c>
      <c r="AF27" s="2">
        <v>1</v>
      </c>
      <c r="AG27" s="2">
        <v>0</v>
      </c>
      <c r="AH27" s="2">
        <v>1</v>
      </c>
      <c r="AI27" s="2">
        <v>1</v>
      </c>
      <c r="AJ27" s="2">
        <v>0</v>
      </c>
      <c r="AK27">
        <f t="shared" si="6"/>
        <v>0</v>
      </c>
      <c r="AL27" s="9" t="s">
        <v>5</v>
      </c>
    </row>
    <row r="28" spans="1:38" x14ac:dyDescent="0.35">
      <c r="A28">
        <v>34</v>
      </c>
      <c r="B28" t="s">
        <v>15</v>
      </c>
      <c r="C28">
        <v>1.61</v>
      </c>
      <c r="D28" s="2">
        <v>1</v>
      </c>
      <c r="E28" t="s">
        <v>51</v>
      </c>
      <c r="F28" t="s">
        <v>55</v>
      </c>
      <c r="G28" t="s">
        <v>165</v>
      </c>
      <c r="H28">
        <v>0</v>
      </c>
      <c r="I28" s="13">
        <v>0</v>
      </c>
      <c r="J28" s="2">
        <v>2</v>
      </c>
      <c r="K28">
        <v>2</v>
      </c>
      <c r="L28" s="2">
        <f t="shared" si="0"/>
        <v>0</v>
      </c>
      <c r="M28">
        <v>9</v>
      </c>
      <c r="N28">
        <v>9</v>
      </c>
      <c r="O28">
        <f t="shared" si="1"/>
        <v>0</v>
      </c>
      <c r="P28">
        <v>1</v>
      </c>
      <c r="Q28">
        <v>1</v>
      </c>
      <c r="R28">
        <f t="shared" si="2"/>
        <v>0</v>
      </c>
      <c r="S28">
        <v>2</v>
      </c>
      <c r="T28">
        <v>1</v>
      </c>
      <c r="U28">
        <f t="shared" si="3"/>
        <v>-1</v>
      </c>
      <c r="V28">
        <v>0</v>
      </c>
      <c r="W28">
        <v>0</v>
      </c>
      <c r="X28">
        <f t="shared" si="4"/>
        <v>0</v>
      </c>
      <c r="Y28" s="2">
        <v>0</v>
      </c>
      <c r="Z28" s="5">
        <v>0</v>
      </c>
      <c r="AA28" s="5">
        <v>0</v>
      </c>
      <c r="AB28">
        <f t="shared" si="5"/>
        <v>0</v>
      </c>
      <c r="AC28" s="2">
        <v>0</v>
      </c>
      <c r="AD28" s="2">
        <v>0</v>
      </c>
      <c r="AE28" s="2">
        <v>0</v>
      </c>
      <c r="AF28" s="2">
        <v>0</v>
      </c>
      <c r="AG28" s="2">
        <v>0</v>
      </c>
      <c r="AH28" s="2">
        <v>0</v>
      </c>
      <c r="AI28" s="2">
        <v>0</v>
      </c>
      <c r="AJ28" s="2">
        <v>0</v>
      </c>
      <c r="AK28">
        <f t="shared" si="6"/>
        <v>1</v>
      </c>
      <c r="AL28" t="s">
        <v>139</v>
      </c>
    </row>
    <row r="29" spans="1:38" x14ac:dyDescent="0.35">
      <c r="A29">
        <v>36</v>
      </c>
      <c r="B29" t="s">
        <v>15</v>
      </c>
      <c r="C29">
        <v>1.61</v>
      </c>
      <c r="D29">
        <v>146</v>
      </c>
      <c r="E29" t="s">
        <v>51</v>
      </c>
      <c r="F29" t="s">
        <v>55</v>
      </c>
      <c r="G29" t="s">
        <v>165</v>
      </c>
      <c r="H29">
        <v>1</v>
      </c>
      <c r="I29" s="13">
        <v>1</v>
      </c>
      <c r="J29" s="2">
        <v>2</v>
      </c>
      <c r="K29">
        <v>1</v>
      </c>
      <c r="L29" s="2">
        <f t="shared" si="0"/>
        <v>-1</v>
      </c>
      <c r="M29">
        <v>3</v>
      </c>
      <c r="N29">
        <v>2</v>
      </c>
      <c r="O29">
        <f t="shared" si="1"/>
        <v>-1</v>
      </c>
      <c r="P29">
        <v>1</v>
      </c>
      <c r="Q29">
        <v>1</v>
      </c>
      <c r="R29">
        <f t="shared" si="2"/>
        <v>0</v>
      </c>
      <c r="S29">
        <v>2</v>
      </c>
      <c r="T29">
        <v>2</v>
      </c>
      <c r="U29">
        <f t="shared" si="3"/>
        <v>0</v>
      </c>
      <c r="V29">
        <v>2</v>
      </c>
      <c r="W29">
        <v>2</v>
      </c>
      <c r="X29">
        <f t="shared" si="4"/>
        <v>0</v>
      </c>
      <c r="Y29" s="2">
        <v>1</v>
      </c>
      <c r="Z29" s="5">
        <v>0</v>
      </c>
      <c r="AA29" s="5">
        <v>1</v>
      </c>
      <c r="AB29">
        <f t="shared" si="5"/>
        <v>1</v>
      </c>
      <c r="AC29" s="2">
        <v>1</v>
      </c>
      <c r="AD29" s="2">
        <v>0</v>
      </c>
      <c r="AE29" s="2">
        <v>0</v>
      </c>
      <c r="AF29" s="2">
        <v>0</v>
      </c>
      <c r="AG29" s="5">
        <v>1</v>
      </c>
      <c r="AH29" s="5">
        <v>1</v>
      </c>
      <c r="AI29" s="2">
        <v>0</v>
      </c>
      <c r="AJ29" s="2">
        <v>0</v>
      </c>
      <c r="AK29">
        <f t="shared" si="6"/>
        <v>0</v>
      </c>
      <c r="AL29" t="s">
        <v>7</v>
      </c>
    </row>
    <row r="30" spans="1:38" x14ac:dyDescent="0.35">
      <c r="A30">
        <v>37</v>
      </c>
      <c r="B30" t="s">
        <v>163</v>
      </c>
      <c r="C30">
        <v>0.44</v>
      </c>
      <c r="D30" s="2">
        <v>12</v>
      </c>
      <c r="E30" t="s">
        <v>161</v>
      </c>
      <c r="F30" t="s">
        <v>53</v>
      </c>
      <c r="G30" t="s">
        <v>165</v>
      </c>
      <c r="H30">
        <v>0</v>
      </c>
      <c r="I30" s="13">
        <v>0</v>
      </c>
      <c r="J30" s="2">
        <v>5</v>
      </c>
      <c r="K30">
        <v>5</v>
      </c>
      <c r="L30" s="2">
        <f t="shared" si="0"/>
        <v>0</v>
      </c>
      <c r="M30">
        <v>7</v>
      </c>
      <c r="N30">
        <v>7</v>
      </c>
      <c r="O30">
        <f t="shared" si="1"/>
        <v>0</v>
      </c>
      <c r="P30">
        <v>2</v>
      </c>
      <c r="Q30">
        <v>2</v>
      </c>
      <c r="R30">
        <f t="shared" si="2"/>
        <v>0</v>
      </c>
      <c r="S30">
        <v>1</v>
      </c>
      <c r="T30">
        <v>1</v>
      </c>
      <c r="U30">
        <f t="shared" si="3"/>
        <v>0</v>
      </c>
      <c r="V30">
        <v>0</v>
      </c>
      <c r="W30">
        <v>1</v>
      </c>
      <c r="X30">
        <f t="shared" si="4"/>
        <v>1</v>
      </c>
      <c r="Y30" s="2">
        <v>0</v>
      </c>
      <c r="Z30" s="2">
        <v>0</v>
      </c>
      <c r="AA30" s="2">
        <v>0</v>
      </c>
      <c r="AB30">
        <f t="shared" si="5"/>
        <v>0</v>
      </c>
      <c r="AC30" s="2">
        <v>0</v>
      </c>
      <c r="AD30" s="2">
        <v>1</v>
      </c>
      <c r="AE30" s="2">
        <v>0</v>
      </c>
      <c r="AF30" s="2">
        <v>1</v>
      </c>
      <c r="AG30" s="2">
        <v>0</v>
      </c>
      <c r="AH30" s="2">
        <v>0</v>
      </c>
      <c r="AI30" s="2">
        <v>0</v>
      </c>
      <c r="AJ30" s="2">
        <v>0</v>
      </c>
      <c r="AK30">
        <f t="shared" si="6"/>
        <v>0</v>
      </c>
      <c r="AL30" t="s">
        <v>5</v>
      </c>
    </row>
    <row r="31" spans="1:38" x14ac:dyDescent="0.35">
      <c r="A31">
        <v>38</v>
      </c>
      <c r="B31" t="s">
        <v>163</v>
      </c>
      <c r="C31">
        <v>0.44</v>
      </c>
      <c r="D31" s="5">
        <v>14</v>
      </c>
      <c r="E31" t="s">
        <v>60</v>
      </c>
      <c r="F31" t="s">
        <v>52</v>
      </c>
      <c r="G31" t="s">
        <v>165</v>
      </c>
      <c r="H31">
        <v>0</v>
      </c>
      <c r="I31" s="13">
        <v>0.75</v>
      </c>
      <c r="J31" s="2">
        <v>2</v>
      </c>
      <c r="K31">
        <v>1</v>
      </c>
      <c r="L31" s="2">
        <f t="shared" si="0"/>
        <v>-1</v>
      </c>
      <c r="M31">
        <v>9</v>
      </c>
      <c r="N31">
        <v>9</v>
      </c>
      <c r="O31">
        <f t="shared" si="1"/>
        <v>0</v>
      </c>
      <c r="P31">
        <v>1</v>
      </c>
      <c r="Q31">
        <v>1</v>
      </c>
      <c r="R31">
        <f t="shared" si="2"/>
        <v>0</v>
      </c>
      <c r="S31">
        <v>1</v>
      </c>
      <c r="T31">
        <v>1</v>
      </c>
      <c r="U31">
        <f t="shared" si="3"/>
        <v>0</v>
      </c>
      <c r="V31">
        <v>0</v>
      </c>
      <c r="W31">
        <v>1</v>
      </c>
      <c r="X31">
        <f t="shared" si="4"/>
        <v>1</v>
      </c>
      <c r="Y31" s="2">
        <v>0</v>
      </c>
      <c r="Z31" s="2">
        <v>0</v>
      </c>
      <c r="AA31" s="2">
        <v>0</v>
      </c>
      <c r="AB31">
        <f t="shared" si="5"/>
        <v>0</v>
      </c>
      <c r="AC31" s="2">
        <v>0</v>
      </c>
      <c r="AD31" s="2">
        <v>0</v>
      </c>
      <c r="AE31" s="2">
        <v>0</v>
      </c>
      <c r="AF31" s="2">
        <v>1</v>
      </c>
      <c r="AG31" s="2">
        <v>0</v>
      </c>
      <c r="AH31" s="2">
        <v>0</v>
      </c>
      <c r="AI31" s="2">
        <v>0</v>
      </c>
      <c r="AJ31" s="2">
        <v>0</v>
      </c>
      <c r="AK31">
        <f t="shared" si="6"/>
        <v>0</v>
      </c>
      <c r="AL31" s="9" t="s">
        <v>38</v>
      </c>
    </row>
    <row r="32" spans="1:38" x14ac:dyDescent="0.35">
      <c r="A32">
        <v>40</v>
      </c>
      <c r="B32" t="s">
        <v>163</v>
      </c>
      <c r="C32">
        <v>0.44</v>
      </c>
      <c r="D32" s="5">
        <v>6</v>
      </c>
      <c r="E32" t="s">
        <v>140</v>
      </c>
      <c r="F32" t="s">
        <v>52</v>
      </c>
      <c r="G32" t="s">
        <v>165</v>
      </c>
      <c r="H32">
        <v>0</v>
      </c>
      <c r="I32" s="13">
        <v>0.75</v>
      </c>
      <c r="J32" s="2">
        <v>3</v>
      </c>
      <c r="K32">
        <v>4</v>
      </c>
      <c r="L32" s="2">
        <f t="shared" si="0"/>
        <v>1</v>
      </c>
      <c r="M32">
        <v>9</v>
      </c>
      <c r="N32">
        <v>2</v>
      </c>
      <c r="O32">
        <f t="shared" si="1"/>
        <v>-7</v>
      </c>
      <c r="P32">
        <v>1</v>
      </c>
      <c r="Q32">
        <v>2</v>
      </c>
      <c r="R32">
        <f t="shared" si="2"/>
        <v>1</v>
      </c>
      <c r="S32">
        <v>2</v>
      </c>
      <c r="T32">
        <v>2</v>
      </c>
      <c r="U32">
        <f t="shared" si="3"/>
        <v>0</v>
      </c>
      <c r="V32">
        <v>2</v>
      </c>
      <c r="W32">
        <v>1</v>
      </c>
      <c r="X32">
        <f t="shared" si="4"/>
        <v>-1</v>
      </c>
      <c r="Y32" s="2">
        <v>0</v>
      </c>
      <c r="Z32" s="2">
        <v>0</v>
      </c>
      <c r="AA32" s="2">
        <v>0</v>
      </c>
      <c r="AB32">
        <f t="shared" si="5"/>
        <v>0</v>
      </c>
      <c r="AC32" s="2">
        <v>0</v>
      </c>
      <c r="AD32" s="2">
        <v>1</v>
      </c>
      <c r="AE32" s="2">
        <v>0</v>
      </c>
      <c r="AF32" s="2">
        <v>0</v>
      </c>
      <c r="AG32" s="2">
        <v>0</v>
      </c>
      <c r="AH32" s="2">
        <v>1</v>
      </c>
      <c r="AI32" s="2">
        <v>0</v>
      </c>
      <c r="AJ32" s="2">
        <v>0</v>
      </c>
      <c r="AK32">
        <f t="shared" si="6"/>
        <v>0</v>
      </c>
      <c r="AL32" s="9" t="s">
        <v>46</v>
      </c>
    </row>
    <row r="33" spans="1:38" x14ac:dyDescent="0.35">
      <c r="A33">
        <v>41</v>
      </c>
      <c r="B33" t="s">
        <v>15</v>
      </c>
      <c r="C33">
        <v>1.61</v>
      </c>
      <c r="D33" s="2">
        <v>109</v>
      </c>
      <c r="E33" t="s">
        <v>51</v>
      </c>
      <c r="F33" t="s">
        <v>59</v>
      </c>
      <c r="G33" t="s">
        <v>166</v>
      </c>
      <c r="H33">
        <v>0</v>
      </c>
      <c r="I33" s="13">
        <v>0.25</v>
      </c>
      <c r="J33" s="2">
        <v>4</v>
      </c>
      <c r="K33">
        <v>4</v>
      </c>
      <c r="L33" s="2">
        <f t="shared" si="0"/>
        <v>0</v>
      </c>
      <c r="M33">
        <v>8</v>
      </c>
      <c r="N33">
        <v>8</v>
      </c>
      <c r="O33">
        <f t="shared" si="1"/>
        <v>0</v>
      </c>
      <c r="P33">
        <v>1</v>
      </c>
      <c r="Q33">
        <v>1</v>
      </c>
      <c r="R33">
        <f t="shared" si="2"/>
        <v>0</v>
      </c>
      <c r="S33">
        <v>1</v>
      </c>
      <c r="T33">
        <v>1</v>
      </c>
      <c r="U33">
        <f t="shared" si="3"/>
        <v>0</v>
      </c>
      <c r="V33">
        <v>0</v>
      </c>
      <c r="W33">
        <v>0</v>
      </c>
      <c r="X33">
        <f t="shared" si="4"/>
        <v>0</v>
      </c>
      <c r="Y33" s="2">
        <v>0</v>
      </c>
      <c r="Z33" s="5">
        <v>0</v>
      </c>
      <c r="AA33" s="5">
        <v>0</v>
      </c>
      <c r="AB33">
        <f t="shared" si="5"/>
        <v>0</v>
      </c>
      <c r="AC33" s="2">
        <v>0</v>
      </c>
      <c r="AD33" s="2">
        <v>0</v>
      </c>
      <c r="AE33" s="2">
        <v>0</v>
      </c>
      <c r="AF33" s="2">
        <v>0</v>
      </c>
      <c r="AG33" s="2">
        <v>0</v>
      </c>
      <c r="AH33" s="2">
        <v>0</v>
      </c>
      <c r="AI33" s="2">
        <v>0</v>
      </c>
      <c r="AJ33" s="2">
        <v>0</v>
      </c>
      <c r="AK33">
        <f t="shared" si="6"/>
        <v>1</v>
      </c>
      <c r="AL33" t="s">
        <v>139</v>
      </c>
    </row>
    <row r="34" spans="1:38" x14ac:dyDescent="0.35">
      <c r="A34">
        <v>42</v>
      </c>
      <c r="B34" t="s">
        <v>15</v>
      </c>
      <c r="C34">
        <v>1.61</v>
      </c>
      <c r="D34" s="2">
        <v>6</v>
      </c>
      <c r="E34" t="s">
        <v>51</v>
      </c>
      <c r="F34" t="s">
        <v>55</v>
      </c>
      <c r="G34" t="s">
        <v>165</v>
      </c>
      <c r="H34">
        <v>0</v>
      </c>
      <c r="I34" s="13">
        <v>0.25</v>
      </c>
      <c r="J34" s="2">
        <v>6</v>
      </c>
      <c r="K34">
        <v>6</v>
      </c>
      <c r="L34" s="2">
        <f t="shared" si="0"/>
        <v>0</v>
      </c>
      <c r="M34">
        <v>8</v>
      </c>
      <c r="N34">
        <v>8</v>
      </c>
      <c r="O34">
        <f t="shared" si="1"/>
        <v>0</v>
      </c>
      <c r="P34">
        <v>2</v>
      </c>
      <c r="Q34">
        <v>2</v>
      </c>
      <c r="R34">
        <f t="shared" si="2"/>
        <v>0</v>
      </c>
      <c r="S34">
        <v>2</v>
      </c>
      <c r="T34">
        <v>2</v>
      </c>
      <c r="U34">
        <f t="shared" si="3"/>
        <v>0</v>
      </c>
      <c r="V34">
        <v>1</v>
      </c>
      <c r="W34">
        <v>1</v>
      </c>
      <c r="X34">
        <f t="shared" si="4"/>
        <v>0</v>
      </c>
      <c r="Y34" s="2">
        <v>0</v>
      </c>
      <c r="Z34" s="5">
        <v>0</v>
      </c>
      <c r="AA34" s="5">
        <v>0</v>
      </c>
      <c r="AB34">
        <f t="shared" si="5"/>
        <v>0</v>
      </c>
      <c r="AC34" s="2">
        <v>0</v>
      </c>
      <c r="AD34" s="2">
        <v>1</v>
      </c>
      <c r="AE34" s="2">
        <v>0</v>
      </c>
      <c r="AF34" s="2">
        <v>0</v>
      </c>
      <c r="AG34" s="2">
        <v>0</v>
      </c>
      <c r="AH34" s="2">
        <v>0</v>
      </c>
      <c r="AI34" s="2">
        <v>0</v>
      </c>
      <c r="AJ34" s="2">
        <v>0</v>
      </c>
      <c r="AK34">
        <f t="shared" si="6"/>
        <v>0</v>
      </c>
      <c r="AL34" t="s">
        <v>5</v>
      </c>
    </row>
    <row r="35" spans="1:38" x14ac:dyDescent="0.35">
      <c r="A35">
        <v>43</v>
      </c>
      <c r="B35" t="s">
        <v>15</v>
      </c>
      <c r="C35">
        <v>1.61</v>
      </c>
      <c r="D35" s="5">
        <v>7</v>
      </c>
      <c r="E35" t="s">
        <v>51</v>
      </c>
      <c r="F35" t="s">
        <v>52</v>
      </c>
      <c r="G35" t="s">
        <v>165</v>
      </c>
      <c r="H35">
        <v>0</v>
      </c>
      <c r="I35" s="13">
        <v>0</v>
      </c>
      <c r="J35" s="2">
        <v>4</v>
      </c>
      <c r="K35">
        <v>4</v>
      </c>
      <c r="L35" s="2">
        <f t="shared" si="0"/>
        <v>0</v>
      </c>
      <c r="M35">
        <v>7</v>
      </c>
      <c r="N35">
        <v>6</v>
      </c>
      <c r="O35">
        <f t="shared" si="1"/>
        <v>-1</v>
      </c>
      <c r="P35">
        <v>3</v>
      </c>
      <c r="Q35">
        <v>3</v>
      </c>
      <c r="R35">
        <f t="shared" si="2"/>
        <v>0</v>
      </c>
      <c r="S35">
        <v>4</v>
      </c>
      <c r="T35">
        <v>2</v>
      </c>
      <c r="U35">
        <f t="shared" si="3"/>
        <v>-2</v>
      </c>
      <c r="V35">
        <v>1</v>
      </c>
      <c r="W35">
        <v>1</v>
      </c>
      <c r="X35">
        <f t="shared" si="4"/>
        <v>0</v>
      </c>
      <c r="Y35" s="2">
        <v>0</v>
      </c>
      <c r="Z35" s="5">
        <v>0</v>
      </c>
      <c r="AA35" s="5">
        <v>0</v>
      </c>
      <c r="AB35">
        <f t="shared" si="5"/>
        <v>0</v>
      </c>
      <c r="AC35" s="2">
        <v>0</v>
      </c>
      <c r="AD35" s="2">
        <v>1</v>
      </c>
      <c r="AE35" s="2">
        <v>0</v>
      </c>
      <c r="AF35" s="2">
        <v>1</v>
      </c>
      <c r="AG35" s="2">
        <v>0</v>
      </c>
      <c r="AH35" s="2">
        <v>0</v>
      </c>
      <c r="AI35" s="2">
        <v>0</v>
      </c>
      <c r="AJ35" s="2">
        <v>0</v>
      </c>
      <c r="AK35">
        <f t="shared" si="6"/>
        <v>0</v>
      </c>
      <c r="AL35" s="9" t="s">
        <v>38</v>
      </c>
    </row>
    <row r="36" spans="1:38" x14ac:dyDescent="0.35">
      <c r="A36">
        <v>44</v>
      </c>
      <c r="B36" t="s">
        <v>15</v>
      </c>
      <c r="C36">
        <v>1.61</v>
      </c>
      <c r="D36" s="2">
        <v>66</v>
      </c>
      <c r="E36" t="s">
        <v>51</v>
      </c>
      <c r="F36" t="s">
        <v>54</v>
      </c>
      <c r="G36" t="s">
        <v>166</v>
      </c>
      <c r="H36">
        <v>0</v>
      </c>
      <c r="I36" s="13">
        <v>0.75</v>
      </c>
      <c r="J36" s="2">
        <v>5</v>
      </c>
      <c r="K36">
        <v>5</v>
      </c>
      <c r="L36" s="2">
        <f t="shared" si="0"/>
        <v>0</v>
      </c>
      <c r="M36">
        <v>4</v>
      </c>
      <c r="N36">
        <v>2</v>
      </c>
      <c r="O36">
        <f t="shared" si="1"/>
        <v>-2</v>
      </c>
      <c r="P36">
        <v>1</v>
      </c>
      <c r="Q36">
        <v>1</v>
      </c>
      <c r="R36">
        <f t="shared" si="2"/>
        <v>0</v>
      </c>
      <c r="S36">
        <v>4</v>
      </c>
      <c r="T36">
        <v>2</v>
      </c>
      <c r="U36">
        <f t="shared" si="3"/>
        <v>-2</v>
      </c>
      <c r="V36">
        <v>2</v>
      </c>
      <c r="W36">
        <v>0</v>
      </c>
      <c r="X36">
        <f t="shared" si="4"/>
        <v>-2</v>
      </c>
      <c r="Y36" s="2">
        <v>0</v>
      </c>
      <c r="Z36" s="5">
        <v>1</v>
      </c>
      <c r="AA36" s="5">
        <v>0</v>
      </c>
      <c r="AB36">
        <f t="shared" si="5"/>
        <v>1</v>
      </c>
      <c r="AC36" s="2">
        <v>0</v>
      </c>
      <c r="AD36" s="2">
        <v>1</v>
      </c>
      <c r="AE36" s="2">
        <v>0</v>
      </c>
      <c r="AF36" s="2">
        <v>1</v>
      </c>
      <c r="AG36" s="2">
        <v>0</v>
      </c>
      <c r="AH36" s="2">
        <v>0</v>
      </c>
      <c r="AI36" s="2">
        <v>1</v>
      </c>
      <c r="AJ36" s="2">
        <v>0</v>
      </c>
      <c r="AK36">
        <f t="shared" si="6"/>
        <v>0</v>
      </c>
      <c r="AL36" t="s">
        <v>5</v>
      </c>
    </row>
    <row r="37" spans="1:38" x14ac:dyDescent="0.35">
      <c r="A37">
        <v>46</v>
      </c>
      <c r="B37" t="s">
        <v>15</v>
      </c>
      <c r="C37">
        <v>1.61</v>
      </c>
      <c r="D37" s="2">
        <v>7</v>
      </c>
      <c r="E37" t="s">
        <v>51</v>
      </c>
      <c r="F37" t="s">
        <v>55</v>
      </c>
      <c r="G37" t="s">
        <v>165</v>
      </c>
      <c r="H37">
        <v>0</v>
      </c>
      <c r="I37" s="13">
        <v>0.25</v>
      </c>
      <c r="J37" s="2">
        <v>6</v>
      </c>
      <c r="K37">
        <v>6</v>
      </c>
      <c r="L37" s="2">
        <f t="shared" si="0"/>
        <v>0</v>
      </c>
      <c r="M37">
        <v>7</v>
      </c>
      <c r="N37">
        <v>7</v>
      </c>
      <c r="O37">
        <f t="shared" si="1"/>
        <v>0</v>
      </c>
      <c r="P37">
        <v>3</v>
      </c>
      <c r="Q37">
        <v>3</v>
      </c>
      <c r="R37">
        <f t="shared" si="2"/>
        <v>0</v>
      </c>
      <c r="S37">
        <v>5</v>
      </c>
      <c r="T37">
        <v>5</v>
      </c>
      <c r="U37">
        <f t="shared" si="3"/>
        <v>0</v>
      </c>
      <c r="V37">
        <v>0</v>
      </c>
      <c r="W37">
        <v>0</v>
      </c>
      <c r="X37">
        <f t="shared" si="4"/>
        <v>0</v>
      </c>
      <c r="Y37" s="2">
        <v>0</v>
      </c>
      <c r="Z37" s="5">
        <v>1</v>
      </c>
      <c r="AA37" s="5">
        <v>0</v>
      </c>
      <c r="AB37">
        <f t="shared" si="5"/>
        <v>1</v>
      </c>
      <c r="AC37" s="2">
        <v>1</v>
      </c>
      <c r="AD37" s="2">
        <v>0</v>
      </c>
      <c r="AE37" s="2">
        <v>0</v>
      </c>
      <c r="AF37" s="2">
        <v>1</v>
      </c>
      <c r="AG37" s="2">
        <v>0</v>
      </c>
      <c r="AH37" s="2">
        <v>0</v>
      </c>
      <c r="AI37" s="2">
        <v>1</v>
      </c>
      <c r="AJ37" s="2">
        <v>0</v>
      </c>
      <c r="AK37">
        <f t="shared" si="6"/>
        <v>0</v>
      </c>
      <c r="AL37" t="s">
        <v>135</v>
      </c>
    </row>
    <row r="38" spans="1:38" x14ac:dyDescent="0.35">
      <c r="A38">
        <v>47</v>
      </c>
      <c r="B38" t="s">
        <v>17</v>
      </c>
      <c r="C38">
        <v>-0.04</v>
      </c>
      <c r="D38" s="5">
        <v>56</v>
      </c>
      <c r="E38" t="s">
        <v>159</v>
      </c>
      <c r="F38" t="s">
        <v>52</v>
      </c>
      <c r="G38" t="s">
        <v>166</v>
      </c>
      <c r="H38">
        <v>0</v>
      </c>
      <c r="I38" s="13">
        <v>0</v>
      </c>
      <c r="J38" s="2">
        <v>4</v>
      </c>
      <c r="K38">
        <v>4</v>
      </c>
      <c r="L38" s="2">
        <f t="shared" si="0"/>
        <v>0</v>
      </c>
      <c r="M38">
        <v>9</v>
      </c>
      <c r="N38">
        <v>9</v>
      </c>
      <c r="O38">
        <f t="shared" si="1"/>
        <v>0</v>
      </c>
      <c r="P38">
        <v>1</v>
      </c>
      <c r="Q38">
        <v>1</v>
      </c>
      <c r="R38">
        <f t="shared" si="2"/>
        <v>0</v>
      </c>
      <c r="S38">
        <v>1</v>
      </c>
      <c r="T38">
        <v>1</v>
      </c>
      <c r="U38">
        <f t="shared" si="3"/>
        <v>0</v>
      </c>
      <c r="V38">
        <v>0</v>
      </c>
      <c r="W38">
        <v>0</v>
      </c>
      <c r="X38">
        <f t="shared" si="4"/>
        <v>0</v>
      </c>
      <c r="Y38" s="2">
        <v>0</v>
      </c>
      <c r="Z38" s="2">
        <v>0</v>
      </c>
      <c r="AA38" s="2">
        <v>0</v>
      </c>
      <c r="AB38">
        <f t="shared" si="5"/>
        <v>0</v>
      </c>
      <c r="AC38" s="2">
        <v>0</v>
      </c>
      <c r="AD38" s="2">
        <v>0</v>
      </c>
      <c r="AE38" s="2">
        <v>0</v>
      </c>
      <c r="AF38" s="2">
        <v>1</v>
      </c>
      <c r="AG38" s="2">
        <v>0</v>
      </c>
      <c r="AH38" s="2">
        <v>0</v>
      </c>
      <c r="AI38" s="2">
        <v>1</v>
      </c>
      <c r="AJ38" s="2">
        <v>0</v>
      </c>
      <c r="AK38">
        <f t="shared" si="6"/>
        <v>0</v>
      </c>
      <c r="AL38" s="9" t="s">
        <v>38</v>
      </c>
    </row>
    <row r="39" spans="1:38" x14ac:dyDescent="0.35">
      <c r="A39">
        <v>48</v>
      </c>
      <c r="B39" t="s">
        <v>17</v>
      </c>
      <c r="C39">
        <v>-0.04</v>
      </c>
      <c r="D39" s="2">
        <v>56</v>
      </c>
      <c r="E39" t="s">
        <v>159</v>
      </c>
      <c r="F39" t="s">
        <v>54</v>
      </c>
      <c r="G39" t="s">
        <v>166</v>
      </c>
      <c r="H39">
        <v>0</v>
      </c>
      <c r="I39" s="13">
        <v>0.25</v>
      </c>
      <c r="J39" s="2">
        <v>3</v>
      </c>
      <c r="K39">
        <v>3</v>
      </c>
      <c r="L39" s="2">
        <f t="shared" si="0"/>
        <v>0</v>
      </c>
      <c r="M39">
        <v>6</v>
      </c>
      <c r="N39">
        <v>5</v>
      </c>
      <c r="O39">
        <f t="shared" si="1"/>
        <v>-1</v>
      </c>
      <c r="P39">
        <v>2</v>
      </c>
      <c r="Q39">
        <v>2</v>
      </c>
      <c r="R39">
        <f t="shared" si="2"/>
        <v>0</v>
      </c>
      <c r="S39">
        <v>1</v>
      </c>
      <c r="T39">
        <v>1</v>
      </c>
      <c r="U39">
        <f t="shared" si="3"/>
        <v>0</v>
      </c>
      <c r="V39">
        <v>1</v>
      </c>
      <c r="W39">
        <v>1</v>
      </c>
      <c r="X39">
        <f t="shared" si="4"/>
        <v>0</v>
      </c>
      <c r="Y39" s="2">
        <v>0</v>
      </c>
      <c r="Z39" s="2">
        <v>0</v>
      </c>
      <c r="AA39" s="2">
        <v>0</v>
      </c>
      <c r="AB39">
        <f t="shared" si="5"/>
        <v>0</v>
      </c>
      <c r="AC39" s="2">
        <v>0</v>
      </c>
      <c r="AD39" s="2">
        <v>0</v>
      </c>
      <c r="AE39" s="2">
        <v>0</v>
      </c>
      <c r="AF39" s="2">
        <v>1</v>
      </c>
      <c r="AG39" s="2">
        <v>0</v>
      </c>
      <c r="AH39" s="2">
        <v>0</v>
      </c>
      <c r="AI39" s="2">
        <v>0</v>
      </c>
      <c r="AJ39" s="2">
        <v>0</v>
      </c>
      <c r="AK39">
        <f t="shared" si="6"/>
        <v>0</v>
      </c>
      <c r="AL39" t="s">
        <v>139</v>
      </c>
    </row>
    <row r="40" spans="1:38" x14ac:dyDescent="0.35">
      <c r="A40">
        <v>49</v>
      </c>
      <c r="B40" t="s">
        <v>15</v>
      </c>
      <c r="C40">
        <v>1.61</v>
      </c>
      <c r="D40" s="5">
        <v>7</v>
      </c>
      <c r="E40" t="s">
        <v>51</v>
      </c>
      <c r="F40" t="s">
        <v>54</v>
      </c>
      <c r="G40" t="s">
        <v>165</v>
      </c>
      <c r="H40">
        <v>0</v>
      </c>
      <c r="I40" s="13">
        <v>0.75</v>
      </c>
      <c r="J40" s="2">
        <v>3</v>
      </c>
      <c r="K40">
        <v>3</v>
      </c>
      <c r="L40" s="2">
        <f t="shared" si="0"/>
        <v>0</v>
      </c>
      <c r="M40">
        <v>7</v>
      </c>
      <c r="N40">
        <v>6</v>
      </c>
      <c r="O40">
        <f t="shared" si="1"/>
        <v>-1</v>
      </c>
      <c r="P40">
        <v>1</v>
      </c>
      <c r="Q40">
        <v>1</v>
      </c>
      <c r="R40">
        <f t="shared" si="2"/>
        <v>0</v>
      </c>
      <c r="S40">
        <v>1</v>
      </c>
      <c r="T40">
        <v>2</v>
      </c>
      <c r="U40">
        <f t="shared" si="3"/>
        <v>1</v>
      </c>
      <c r="V40">
        <v>1</v>
      </c>
      <c r="W40">
        <v>1</v>
      </c>
      <c r="X40">
        <f t="shared" si="4"/>
        <v>0</v>
      </c>
      <c r="Y40" s="2">
        <v>0</v>
      </c>
      <c r="Z40" s="5">
        <v>0</v>
      </c>
      <c r="AA40" s="5">
        <v>0</v>
      </c>
      <c r="AB40">
        <f t="shared" si="5"/>
        <v>0</v>
      </c>
      <c r="AC40" s="2">
        <v>0</v>
      </c>
      <c r="AD40" s="2">
        <v>1</v>
      </c>
      <c r="AE40" s="2">
        <v>0</v>
      </c>
      <c r="AF40" s="2">
        <v>1</v>
      </c>
      <c r="AG40" s="2">
        <v>0</v>
      </c>
      <c r="AH40" s="2">
        <v>0</v>
      </c>
      <c r="AI40" s="2">
        <v>0</v>
      </c>
      <c r="AJ40" s="2">
        <v>0</v>
      </c>
      <c r="AK40">
        <f t="shared" si="6"/>
        <v>0</v>
      </c>
      <c r="AL40" s="9" t="s">
        <v>38</v>
      </c>
    </row>
    <row r="41" spans="1:38" x14ac:dyDescent="0.35">
      <c r="A41">
        <v>50</v>
      </c>
      <c r="B41" t="s">
        <v>15</v>
      </c>
      <c r="C41">
        <v>1.61</v>
      </c>
      <c r="D41" s="2">
        <v>145</v>
      </c>
      <c r="E41" t="s">
        <v>51</v>
      </c>
      <c r="F41" t="s">
        <v>54</v>
      </c>
      <c r="G41" t="s">
        <v>165</v>
      </c>
      <c r="H41">
        <v>1</v>
      </c>
      <c r="I41" s="13">
        <v>0.75</v>
      </c>
      <c r="J41" s="2">
        <v>5</v>
      </c>
      <c r="K41">
        <v>1</v>
      </c>
      <c r="L41" s="2">
        <f t="shared" si="0"/>
        <v>-4</v>
      </c>
      <c r="M41">
        <v>8</v>
      </c>
      <c r="N41">
        <v>6</v>
      </c>
      <c r="O41">
        <f t="shared" si="1"/>
        <v>-2</v>
      </c>
      <c r="P41">
        <v>2</v>
      </c>
      <c r="Q41">
        <v>2</v>
      </c>
      <c r="R41">
        <f t="shared" si="2"/>
        <v>0</v>
      </c>
      <c r="S41">
        <v>4</v>
      </c>
      <c r="T41">
        <v>2</v>
      </c>
      <c r="U41">
        <f t="shared" si="3"/>
        <v>-2</v>
      </c>
      <c r="V41">
        <v>2</v>
      </c>
      <c r="W41">
        <v>2</v>
      </c>
      <c r="X41">
        <f t="shared" si="4"/>
        <v>0</v>
      </c>
      <c r="Y41" s="2">
        <v>1</v>
      </c>
      <c r="Z41" s="5">
        <v>1</v>
      </c>
      <c r="AA41" s="5">
        <v>1</v>
      </c>
      <c r="AB41">
        <f t="shared" si="5"/>
        <v>1</v>
      </c>
      <c r="AC41" s="2">
        <v>1</v>
      </c>
      <c r="AD41" s="2">
        <v>1</v>
      </c>
      <c r="AE41" s="2">
        <v>0</v>
      </c>
      <c r="AF41" s="2">
        <v>0</v>
      </c>
      <c r="AG41" s="2">
        <v>0</v>
      </c>
      <c r="AH41" s="2">
        <v>0</v>
      </c>
      <c r="AI41" s="2">
        <v>0</v>
      </c>
      <c r="AJ41" s="2">
        <v>0</v>
      </c>
      <c r="AK41">
        <f t="shared" si="6"/>
        <v>0</v>
      </c>
      <c r="AL41" t="s">
        <v>3</v>
      </c>
    </row>
    <row r="42" spans="1:38" x14ac:dyDescent="0.35">
      <c r="A42">
        <v>51</v>
      </c>
      <c r="B42" t="s">
        <v>15</v>
      </c>
      <c r="C42">
        <v>1.61</v>
      </c>
      <c r="D42" s="2">
        <v>145</v>
      </c>
      <c r="E42" t="s">
        <v>51</v>
      </c>
      <c r="F42" t="s">
        <v>54</v>
      </c>
      <c r="G42" t="s">
        <v>165</v>
      </c>
      <c r="H42">
        <v>0</v>
      </c>
      <c r="I42" s="13">
        <v>1</v>
      </c>
      <c r="J42" s="2">
        <v>5</v>
      </c>
      <c r="K42">
        <v>4</v>
      </c>
      <c r="L42" s="2">
        <f t="shared" si="0"/>
        <v>-1</v>
      </c>
      <c r="M42">
        <v>8</v>
      </c>
      <c r="N42">
        <v>5</v>
      </c>
      <c r="O42">
        <f t="shared" si="1"/>
        <v>-3</v>
      </c>
      <c r="P42">
        <v>2</v>
      </c>
      <c r="Q42">
        <v>2</v>
      </c>
      <c r="R42">
        <f t="shared" si="2"/>
        <v>0</v>
      </c>
      <c r="S42">
        <v>2</v>
      </c>
      <c r="T42">
        <v>3</v>
      </c>
      <c r="U42">
        <f t="shared" si="3"/>
        <v>1</v>
      </c>
      <c r="V42">
        <v>1</v>
      </c>
      <c r="W42">
        <v>2</v>
      </c>
      <c r="X42">
        <f t="shared" si="4"/>
        <v>1</v>
      </c>
      <c r="Y42" s="2">
        <v>0</v>
      </c>
      <c r="Z42" s="5">
        <v>1</v>
      </c>
      <c r="AA42" s="5">
        <v>1</v>
      </c>
      <c r="AB42">
        <f t="shared" si="5"/>
        <v>1</v>
      </c>
      <c r="AC42" s="2">
        <v>1</v>
      </c>
      <c r="AD42" s="2">
        <v>1</v>
      </c>
      <c r="AE42" s="2">
        <v>0</v>
      </c>
      <c r="AF42" s="2">
        <v>1</v>
      </c>
      <c r="AG42" s="2">
        <v>0</v>
      </c>
      <c r="AH42" s="2">
        <v>0</v>
      </c>
      <c r="AI42" s="2">
        <v>1</v>
      </c>
      <c r="AJ42" s="2">
        <v>0</v>
      </c>
      <c r="AK42">
        <f t="shared" si="6"/>
        <v>0</v>
      </c>
      <c r="AL42" t="s">
        <v>135</v>
      </c>
    </row>
    <row r="43" spans="1:38" x14ac:dyDescent="0.35">
      <c r="A43">
        <v>52</v>
      </c>
      <c r="B43" t="s">
        <v>15</v>
      </c>
      <c r="C43">
        <v>1.61</v>
      </c>
      <c r="D43" s="2">
        <v>14</v>
      </c>
      <c r="E43" t="s">
        <v>159</v>
      </c>
      <c r="F43" t="s">
        <v>52</v>
      </c>
      <c r="G43" t="s">
        <v>166</v>
      </c>
      <c r="H43">
        <v>0</v>
      </c>
      <c r="I43" s="13">
        <v>0</v>
      </c>
      <c r="J43" s="2">
        <v>3</v>
      </c>
      <c r="K43">
        <v>3</v>
      </c>
      <c r="L43" s="2">
        <f t="shared" si="0"/>
        <v>0</v>
      </c>
      <c r="M43">
        <v>9</v>
      </c>
      <c r="N43">
        <v>9</v>
      </c>
      <c r="O43">
        <f t="shared" si="1"/>
        <v>0</v>
      </c>
      <c r="P43">
        <v>3</v>
      </c>
      <c r="Q43">
        <v>3</v>
      </c>
      <c r="R43">
        <f t="shared" si="2"/>
        <v>0</v>
      </c>
      <c r="S43">
        <v>1</v>
      </c>
      <c r="T43">
        <v>2</v>
      </c>
      <c r="U43">
        <f t="shared" si="3"/>
        <v>1</v>
      </c>
      <c r="V43">
        <v>0</v>
      </c>
      <c r="W43">
        <v>1</v>
      </c>
      <c r="X43">
        <f t="shared" si="4"/>
        <v>1</v>
      </c>
      <c r="Y43" s="2">
        <v>0</v>
      </c>
      <c r="Z43" s="5">
        <v>0</v>
      </c>
      <c r="AA43" s="5">
        <v>0</v>
      </c>
      <c r="AB43">
        <f t="shared" si="5"/>
        <v>0</v>
      </c>
      <c r="AC43" s="2">
        <v>0</v>
      </c>
      <c r="AD43" s="2">
        <v>0</v>
      </c>
      <c r="AE43" s="2">
        <v>0</v>
      </c>
      <c r="AF43" s="2">
        <v>0</v>
      </c>
      <c r="AG43" s="2">
        <v>0</v>
      </c>
      <c r="AH43" s="2">
        <v>0</v>
      </c>
      <c r="AI43" s="2">
        <v>0</v>
      </c>
      <c r="AJ43" s="2">
        <v>0</v>
      </c>
      <c r="AK43">
        <f t="shared" si="6"/>
        <v>1</v>
      </c>
      <c r="AL43" t="s">
        <v>139</v>
      </c>
    </row>
    <row r="44" spans="1:38" x14ac:dyDescent="0.35">
      <c r="A44">
        <v>53</v>
      </c>
      <c r="B44" t="s">
        <v>17</v>
      </c>
      <c r="C44">
        <v>-0.04</v>
      </c>
      <c r="D44" s="2">
        <v>60</v>
      </c>
      <c r="E44" t="s">
        <v>159</v>
      </c>
      <c r="F44" t="s">
        <v>54</v>
      </c>
      <c r="G44" t="s">
        <v>165</v>
      </c>
      <c r="H44">
        <v>0</v>
      </c>
      <c r="I44" s="13">
        <v>0.75</v>
      </c>
      <c r="J44" s="2">
        <v>8</v>
      </c>
      <c r="K44">
        <v>8</v>
      </c>
      <c r="L44" s="2">
        <f t="shared" si="0"/>
        <v>0</v>
      </c>
      <c r="M44">
        <v>6</v>
      </c>
      <c r="N44">
        <v>6</v>
      </c>
      <c r="O44">
        <f t="shared" si="1"/>
        <v>0</v>
      </c>
      <c r="P44">
        <v>3</v>
      </c>
      <c r="Q44">
        <v>3</v>
      </c>
      <c r="R44">
        <f t="shared" si="2"/>
        <v>0</v>
      </c>
      <c r="S44">
        <v>1</v>
      </c>
      <c r="T44">
        <v>2</v>
      </c>
      <c r="U44">
        <f t="shared" si="3"/>
        <v>1</v>
      </c>
      <c r="V44">
        <v>1</v>
      </c>
      <c r="W44">
        <v>1</v>
      </c>
      <c r="X44">
        <f t="shared" si="4"/>
        <v>0</v>
      </c>
      <c r="Y44" s="2">
        <v>0</v>
      </c>
      <c r="Z44" s="2">
        <v>1</v>
      </c>
      <c r="AA44" s="2">
        <v>0</v>
      </c>
      <c r="AB44">
        <f t="shared" si="5"/>
        <v>1</v>
      </c>
      <c r="AC44" s="2">
        <v>0</v>
      </c>
      <c r="AD44" s="2">
        <v>1</v>
      </c>
      <c r="AE44" s="2">
        <v>0</v>
      </c>
      <c r="AF44" s="2">
        <v>1</v>
      </c>
      <c r="AG44" s="2">
        <v>0</v>
      </c>
      <c r="AH44" s="2">
        <v>0</v>
      </c>
      <c r="AI44" s="2">
        <v>1</v>
      </c>
      <c r="AJ44" s="2">
        <v>1</v>
      </c>
      <c r="AK44">
        <f t="shared" si="6"/>
        <v>0</v>
      </c>
      <c r="AL44" t="s">
        <v>135</v>
      </c>
    </row>
    <row r="45" spans="1:38" x14ac:dyDescent="0.35">
      <c r="A45">
        <v>54</v>
      </c>
      <c r="B45" t="s">
        <v>17</v>
      </c>
      <c r="C45">
        <v>-0.04</v>
      </c>
      <c r="D45" s="2">
        <v>60</v>
      </c>
      <c r="E45" t="s">
        <v>159</v>
      </c>
      <c r="F45" t="s">
        <v>52</v>
      </c>
      <c r="G45" t="s">
        <v>165</v>
      </c>
      <c r="H45">
        <v>0</v>
      </c>
      <c r="I45" s="13">
        <v>1</v>
      </c>
      <c r="J45" s="2">
        <v>5</v>
      </c>
      <c r="K45">
        <v>5</v>
      </c>
      <c r="L45" s="2">
        <f t="shared" si="0"/>
        <v>0</v>
      </c>
      <c r="M45">
        <v>8</v>
      </c>
      <c r="N45">
        <v>4</v>
      </c>
      <c r="O45">
        <f t="shared" si="1"/>
        <v>-4</v>
      </c>
      <c r="P45">
        <v>2</v>
      </c>
      <c r="Q45">
        <v>2</v>
      </c>
      <c r="R45">
        <f t="shared" si="2"/>
        <v>0</v>
      </c>
      <c r="S45">
        <v>3</v>
      </c>
      <c r="T45">
        <v>1</v>
      </c>
      <c r="U45">
        <f t="shared" si="3"/>
        <v>-2</v>
      </c>
      <c r="V45">
        <v>0</v>
      </c>
      <c r="W45">
        <v>0</v>
      </c>
      <c r="X45">
        <f t="shared" si="4"/>
        <v>0</v>
      </c>
      <c r="Y45" s="2">
        <v>0</v>
      </c>
      <c r="Z45" s="2">
        <v>0</v>
      </c>
      <c r="AA45" s="2">
        <v>0</v>
      </c>
      <c r="AB45">
        <f t="shared" si="5"/>
        <v>0</v>
      </c>
      <c r="AC45" s="2">
        <v>0</v>
      </c>
      <c r="AD45" s="2">
        <v>1</v>
      </c>
      <c r="AE45" s="2">
        <v>0</v>
      </c>
      <c r="AF45" s="2">
        <v>1</v>
      </c>
      <c r="AG45" s="2">
        <v>0</v>
      </c>
      <c r="AH45" s="2">
        <v>0</v>
      </c>
      <c r="AI45" s="2">
        <v>1</v>
      </c>
      <c r="AJ45" s="2">
        <v>0</v>
      </c>
      <c r="AK45">
        <f t="shared" si="6"/>
        <v>0</v>
      </c>
      <c r="AL45" t="s">
        <v>5</v>
      </c>
    </row>
    <row r="46" spans="1:38" x14ac:dyDescent="0.35">
      <c r="A46">
        <v>55</v>
      </c>
      <c r="B46" t="s">
        <v>15</v>
      </c>
      <c r="C46">
        <v>1.61</v>
      </c>
      <c r="D46" s="2">
        <v>6</v>
      </c>
      <c r="E46" t="s">
        <v>51</v>
      </c>
      <c r="F46" t="s">
        <v>54</v>
      </c>
      <c r="G46" t="s">
        <v>165</v>
      </c>
      <c r="H46">
        <v>0</v>
      </c>
      <c r="I46" s="13">
        <v>0.25</v>
      </c>
      <c r="J46" s="2">
        <v>11</v>
      </c>
      <c r="K46">
        <v>12</v>
      </c>
      <c r="L46" s="2">
        <f t="shared" si="0"/>
        <v>1</v>
      </c>
      <c r="M46">
        <v>7</v>
      </c>
      <c r="N46">
        <v>7</v>
      </c>
      <c r="O46">
        <f t="shared" si="1"/>
        <v>0</v>
      </c>
      <c r="P46">
        <v>3</v>
      </c>
      <c r="Q46">
        <v>3</v>
      </c>
      <c r="R46">
        <f t="shared" si="2"/>
        <v>0</v>
      </c>
      <c r="S46">
        <v>2</v>
      </c>
      <c r="T46">
        <v>2</v>
      </c>
      <c r="U46">
        <f t="shared" si="3"/>
        <v>0</v>
      </c>
      <c r="V46">
        <v>1</v>
      </c>
      <c r="W46">
        <v>0</v>
      </c>
      <c r="X46">
        <f t="shared" si="4"/>
        <v>-1</v>
      </c>
      <c r="Y46" s="2">
        <v>0</v>
      </c>
      <c r="Z46" s="5">
        <v>0</v>
      </c>
      <c r="AA46" s="5">
        <v>0</v>
      </c>
      <c r="AB46">
        <f t="shared" si="5"/>
        <v>0</v>
      </c>
      <c r="AC46" s="2">
        <v>0</v>
      </c>
      <c r="AD46" s="2">
        <v>0</v>
      </c>
      <c r="AE46" s="2">
        <v>0</v>
      </c>
      <c r="AF46" s="2">
        <v>0</v>
      </c>
      <c r="AG46" s="2">
        <v>0</v>
      </c>
      <c r="AH46" s="2">
        <v>0</v>
      </c>
      <c r="AI46" s="2">
        <v>1</v>
      </c>
      <c r="AJ46" s="2">
        <v>0</v>
      </c>
      <c r="AK46">
        <f t="shared" si="6"/>
        <v>0</v>
      </c>
      <c r="AL46" t="s">
        <v>139</v>
      </c>
    </row>
    <row r="47" spans="1:38" x14ac:dyDescent="0.35">
      <c r="A47">
        <v>56</v>
      </c>
      <c r="B47" t="s">
        <v>15</v>
      </c>
      <c r="C47">
        <v>1.61</v>
      </c>
      <c r="D47" s="2">
        <v>39</v>
      </c>
      <c r="E47" t="s">
        <v>51</v>
      </c>
      <c r="F47" t="s">
        <v>53</v>
      </c>
      <c r="G47" t="s">
        <v>166</v>
      </c>
      <c r="H47">
        <v>1</v>
      </c>
      <c r="I47" s="13">
        <v>0.75</v>
      </c>
      <c r="J47" s="2">
        <v>1</v>
      </c>
      <c r="K47">
        <v>1</v>
      </c>
      <c r="L47" s="2">
        <f t="shared" si="0"/>
        <v>0</v>
      </c>
      <c r="M47">
        <v>8</v>
      </c>
      <c r="N47">
        <v>4</v>
      </c>
      <c r="O47">
        <f t="shared" si="1"/>
        <v>-4</v>
      </c>
      <c r="P47">
        <v>2</v>
      </c>
      <c r="Q47">
        <v>2</v>
      </c>
      <c r="R47">
        <f t="shared" si="2"/>
        <v>0</v>
      </c>
      <c r="S47">
        <v>3</v>
      </c>
      <c r="T47">
        <v>2</v>
      </c>
      <c r="U47">
        <f t="shared" si="3"/>
        <v>-1</v>
      </c>
      <c r="V47">
        <v>0</v>
      </c>
      <c r="W47">
        <v>0</v>
      </c>
      <c r="X47">
        <f t="shared" si="4"/>
        <v>0</v>
      </c>
      <c r="Y47" s="2">
        <v>0</v>
      </c>
      <c r="Z47" s="5">
        <v>1</v>
      </c>
      <c r="AA47" s="5">
        <v>0</v>
      </c>
      <c r="AB47">
        <f t="shared" si="5"/>
        <v>1</v>
      </c>
      <c r="AC47" s="2">
        <v>0</v>
      </c>
      <c r="AD47" s="2">
        <v>0</v>
      </c>
      <c r="AE47" s="2">
        <v>0</v>
      </c>
      <c r="AF47" s="2">
        <v>1</v>
      </c>
      <c r="AG47" s="2">
        <v>0</v>
      </c>
      <c r="AH47" s="2">
        <v>0</v>
      </c>
      <c r="AI47" s="2">
        <v>0</v>
      </c>
      <c r="AJ47" s="2">
        <v>0</v>
      </c>
      <c r="AK47">
        <f t="shared" si="6"/>
        <v>0</v>
      </c>
      <c r="AL47" t="s">
        <v>135</v>
      </c>
    </row>
    <row r="48" spans="1:38" x14ac:dyDescent="0.35">
      <c r="A48">
        <v>57</v>
      </c>
      <c r="B48" t="s">
        <v>15</v>
      </c>
      <c r="C48">
        <v>1.61</v>
      </c>
      <c r="D48" s="2">
        <v>145</v>
      </c>
      <c r="E48" t="s">
        <v>51</v>
      </c>
      <c r="F48" t="s">
        <v>54</v>
      </c>
      <c r="G48" t="s">
        <v>166</v>
      </c>
      <c r="H48">
        <v>0</v>
      </c>
      <c r="I48" s="13">
        <v>0.25</v>
      </c>
      <c r="J48" s="2">
        <v>4</v>
      </c>
      <c r="K48">
        <v>4</v>
      </c>
      <c r="L48" s="2">
        <f t="shared" si="0"/>
        <v>0</v>
      </c>
      <c r="M48">
        <v>8</v>
      </c>
      <c r="N48">
        <v>2</v>
      </c>
      <c r="O48">
        <f t="shared" si="1"/>
        <v>-6</v>
      </c>
      <c r="P48">
        <v>2</v>
      </c>
      <c r="Q48">
        <v>2</v>
      </c>
      <c r="R48">
        <f t="shared" si="2"/>
        <v>0</v>
      </c>
      <c r="S48">
        <v>4</v>
      </c>
      <c r="T48">
        <v>2</v>
      </c>
      <c r="U48">
        <f t="shared" si="3"/>
        <v>-2</v>
      </c>
      <c r="V48">
        <v>1</v>
      </c>
      <c r="W48">
        <v>1</v>
      </c>
      <c r="X48">
        <f t="shared" si="4"/>
        <v>0</v>
      </c>
      <c r="Y48" s="2">
        <v>0</v>
      </c>
      <c r="Z48" s="5">
        <v>1</v>
      </c>
      <c r="AA48" s="5">
        <v>1</v>
      </c>
      <c r="AB48">
        <f t="shared" si="5"/>
        <v>1</v>
      </c>
      <c r="AC48" s="2">
        <v>1</v>
      </c>
      <c r="AD48" s="2">
        <v>0</v>
      </c>
      <c r="AE48" s="2">
        <v>0</v>
      </c>
      <c r="AF48" s="2">
        <v>0</v>
      </c>
      <c r="AG48" s="2">
        <v>0</v>
      </c>
      <c r="AH48" s="2">
        <v>0</v>
      </c>
      <c r="AI48" s="2">
        <v>1</v>
      </c>
      <c r="AJ48" s="2">
        <v>1</v>
      </c>
      <c r="AK48">
        <f t="shared" si="6"/>
        <v>0</v>
      </c>
      <c r="AL48" t="s">
        <v>136</v>
      </c>
    </row>
    <row r="49" spans="1:38" x14ac:dyDescent="0.35">
      <c r="A49">
        <v>58</v>
      </c>
      <c r="B49" t="s">
        <v>17</v>
      </c>
      <c r="C49">
        <v>-0.04</v>
      </c>
      <c r="D49" s="2">
        <v>60</v>
      </c>
      <c r="E49" t="s">
        <v>159</v>
      </c>
      <c r="F49" t="s">
        <v>54</v>
      </c>
      <c r="G49" t="s">
        <v>166</v>
      </c>
      <c r="H49">
        <v>0</v>
      </c>
      <c r="I49" s="13">
        <v>0</v>
      </c>
      <c r="J49" s="2">
        <v>5</v>
      </c>
      <c r="K49">
        <v>5</v>
      </c>
      <c r="L49" s="2">
        <f t="shared" si="0"/>
        <v>0</v>
      </c>
      <c r="M49">
        <v>7</v>
      </c>
      <c r="N49">
        <v>7</v>
      </c>
      <c r="O49">
        <f t="shared" si="1"/>
        <v>0</v>
      </c>
      <c r="P49">
        <v>2</v>
      </c>
      <c r="Q49">
        <v>2</v>
      </c>
      <c r="R49">
        <f t="shared" si="2"/>
        <v>0</v>
      </c>
      <c r="S49">
        <v>1</v>
      </c>
      <c r="T49">
        <v>1</v>
      </c>
      <c r="U49">
        <f t="shared" si="3"/>
        <v>0</v>
      </c>
      <c r="V49">
        <v>0</v>
      </c>
      <c r="W49">
        <v>0</v>
      </c>
      <c r="X49">
        <f t="shared" si="4"/>
        <v>0</v>
      </c>
      <c r="Y49" s="2">
        <v>0</v>
      </c>
      <c r="Z49" s="2">
        <v>0</v>
      </c>
      <c r="AA49" s="2">
        <v>0</v>
      </c>
      <c r="AB49">
        <f t="shared" si="5"/>
        <v>0</v>
      </c>
      <c r="AC49" s="2">
        <v>0</v>
      </c>
      <c r="AD49" s="2">
        <v>0</v>
      </c>
      <c r="AE49" s="2">
        <v>0</v>
      </c>
      <c r="AF49" s="2">
        <v>0</v>
      </c>
      <c r="AG49" s="2">
        <v>0</v>
      </c>
      <c r="AH49" s="2">
        <v>0</v>
      </c>
      <c r="AI49" s="2">
        <v>1</v>
      </c>
      <c r="AJ49" s="2">
        <v>0</v>
      </c>
      <c r="AK49">
        <f t="shared" si="6"/>
        <v>0</v>
      </c>
      <c r="AL49" t="s">
        <v>8</v>
      </c>
    </row>
    <row r="50" spans="1:38" x14ac:dyDescent="0.35">
      <c r="A50">
        <v>59</v>
      </c>
      <c r="B50" t="s">
        <v>15</v>
      </c>
      <c r="C50">
        <v>1.61</v>
      </c>
      <c r="D50" s="5">
        <v>41</v>
      </c>
      <c r="E50" t="s">
        <v>51</v>
      </c>
      <c r="F50" t="s">
        <v>55</v>
      </c>
      <c r="G50" t="s">
        <v>165</v>
      </c>
      <c r="H50">
        <v>0</v>
      </c>
      <c r="I50" s="13">
        <v>0</v>
      </c>
      <c r="J50" s="2">
        <v>2</v>
      </c>
      <c r="K50">
        <v>2</v>
      </c>
      <c r="L50" s="2">
        <f t="shared" si="0"/>
        <v>0</v>
      </c>
      <c r="M50">
        <v>8</v>
      </c>
      <c r="N50">
        <v>8</v>
      </c>
      <c r="O50">
        <f t="shared" si="1"/>
        <v>0</v>
      </c>
      <c r="P50">
        <v>1</v>
      </c>
      <c r="Q50">
        <v>1</v>
      </c>
      <c r="R50">
        <f t="shared" si="2"/>
        <v>0</v>
      </c>
      <c r="S50">
        <v>1</v>
      </c>
      <c r="T50">
        <v>2</v>
      </c>
      <c r="U50">
        <f t="shared" si="3"/>
        <v>1</v>
      </c>
      <c r="V50">
        <v>1</v>
      </c>
      <c r="W50">
        <v>1</v>
      </c>
      <c r="X50">
        <f t="shared" si="4"/>
        <v>0</v>
      </c>
      <c r="Y50" s="2">
        <v>0</v>
      </c>
      <c r="Z50" s="5">
        <v>0</v>
      </c>
      <c r="AA50" s="5">
        <v>0</v>
      </c>
      <c r="AB50">
        <f t="shared" si="5"/>
        <v>0</v>
      </c>
      <c r="AC50" s="2">
        <v>0</v>
      </c>
      <c r="AD50" s="2">
        <v>0</v>
      </c>
      <c r="AE50" s="2">
        <v>0</v>
      </c>
      <c r="AF50" s="2">
        <v>0</v>
      </c>
      <c r="AG50" s="2">
        <v>0</v>
      </c>
      <c r="AH50" s="2">
        <v>0</v>
      </c>
      <c r="AI50" s="2">
        <v>0</v>
      </c>
      <c r="AJ50" s="2">
        <v>1</v>
      </c>
      <c r="AK50">
        <f t="shared" si="6"/>
        <v>0</v>
      </c>
      <c r="AL50" s="9" t="s">
        <v>42</v>
      </c>
    </row>
    <row r="51" spans="1:38" x14ac:dyDescent="0.35">
      <c r="A51">
        <v>60</v>
      </c>
      <c r="B51" t="s">
        <v>15</v>
      </c>
      <c r="C51">
        <v>1.61</v>
      </c>
      <c r="D51" s="2">
        <v>7</v>
      </c>
      <c r="E51" t="s">
        <v>51</v>
      </c>
      <c r="F51" t="s">
        <v>54</v>
      </c>
      <c r="G51" t="s">
        <v>165</v>
      </c>
      <c r="H51">
        <v>1</v>
      </c>
      <c r="I51" s="13">
        <v>1</v>
      </c>
      <c r="J51" s="2">
        <v>8</v>
      </c>
      <c r="K51">
        <v>8</v>
      </c>
      <c r="L51" s="2">
        <f t="shared" si="0"/>
        <v>0</v>
      </c>
      <c r="M51">
        <v>1</v>
      </c>
      <c r="N51">
        <v>1</v>
      </c>
      <c r="O51">
        <f t="shared" si="1"/>
        <v>0</v>
      </c>
      <c r="P51">
        <v>3</v>
      </c>
      <c r="Q51">
        <v>3</v>
      </c>
      <c r="R51">
        <f t="shared" si="2"/>
        <v>0</v>
      </c>
      <c r="S51">
        <v>4</v>
      </c>
      <c r="T51">
        <v>4</v>
      </c>
      <c r="U51">
        <f t="shared" si="3"/>
        <v>0</v>
      </c>
      <c r="V51">
        <v>2</v>
      </c>
      <c r="W51">
        <v>2</v>
      </c>
      <c r="X51">
        <f t="shared" si="4"/>
        <v>0</v>
      </c>
      <c r="Y51" s="2">
        <v>0</v>
      </c>
      <c r="Z51" s="5">
        <v>1</v>
      </c>
      <c r="AA51" s="5">
        <v>0</v>
      </c>
      <c r="AB51">
        <f t="shared" si="5"/>
        <v>1</v>
      </c>
      <c r="AC51" s="2">
        <v>0</v>
      </c>
      <c r="AD51" s="2">
        <v>0</v>
      </c>
      <c r="AE51" s="2">
        <v>0</v>
      </c>
      <c r="AF51" s="2">
        <v>0</v>
      </c>
      <c r="AG51" s="5">
        <v>1</v>
      </c>
      <c r="AH51" s="5">
        <v>1</v>
      </c>
      <c r="AI51" s="2">
        <v>0</v>
      </c>
      <c r="AJ51" s="2">
        <v>0</v>
      </c>
      <c r="AK51">
        <f t="shared" si="6"/>
        <v>0</v>
      </c>
      <c r="AL51" t="s">
        <v>139</v>
      </c>
    </row>
    <row r="52" spans="1:38" x14ac:dyDescent="0.35">
      <c r="A52">
        <v>61</v>
      </c>
      <c r="B52" t="s">
        <v>164</v>
      </c>
      <c r="C52">
        <v>1.47</v>
      </c>
      <c r="D52" s="2">
        <v>38</v>
      </c>
      <c r="E52" t="s">
        <v>161</v>
      </c>
      <c r="F52" t="s">
        <v>52</v>
      </c>
      <c r="G52" t="s">
        <v>165</v>
      </c>
      <c r="H52">
        <v>0</v>
      </c>
      <c r="I52" s="13">
        <v>1</v>
      </c>
      <c r="J52" s="2">
        <v>3</v>
      </c>
      <c r="K52">
        <v>3</v>
      </c>
      <c r="L52" s="2">
        <f t="shared" si="0"/>
        <v>0</v>
      </c>
      <c r="M52">
        <v>5</v>
      </c>
      <c r="N52">
        <v>6</v>
      </c>
      <c r="O52">
        <f t="shared" si="1"/>
        <v>1</v>
      </c>
      <c r="P52">
        <v>2</v>
      </c>
      <c r="Q52">
        <v>2</v>
      </c>
      <c r="R52">
        <f t="shared" si="2"/>
        <v>0</v>
      </c>
      <c r="S52">
        <v>3</v>
      </c>
      <c r="T52">
        <v>3</v>
      </c>
      <c r="U52">
        <f t="shared" si="3"/>
        <v>0</v>
      </c>
      <c r="V52">
        <v>1</v>
      </c>
      <c r="W52">
        <v>1</v>
      </c>
      <c r="X52">
        <f t="shared" si="4"/>
        <v>0</v>
      </c>
      <c r="Y52" s="2">
        <v>0</v>
      </c>
      <c r="Z52" s="2">
        <v>0</v>
      </c>
      <c r="AA52" s="2">
        <v>0</v>
      </c>
      <c r="AB52">
        <f t="shared" si="5"/>
        <v>0</v>
      </c>
      <c r="AC52" s="2">
        <v>0</v>
      </c>
      <c r="AD52" s="2">
        <v>0</v>
      </c>
      <c r="AE52" s="2">
        <v>0</v>
      </c>
      <c r="AF52" s="2">
        <v>0</v>
      </c>
      <c r="AG52" s="2">
        <v>0</v>
      </c>
      <c r="AH52" s="2">
        <v>0</v>
      </c>
      <c r="AI52" s="2">
        <v>0</v>
      </c>
      <c r="AJ52" s="2">
        <v>0</v>
      </c>
      <c r="AK52">
        <f t="shared" si="6"/>
        <v>1</v>
      </c>
      <c r="AL52" t="s">
        <v>139</v>
      </c>
    </row>
    <row r="53" spans="1:38" x14ac:dyDescent="0.35">
      <c r="A53">
        <v>63</v>
      </c>
      <c r="B53" t="s">
        <v>17</v>
      </c>
      <c r="C53">
        <v>-0.04</v>
      </c>
      <c r="D53" s="2">
        <v>87</v>
      </c>
      <c r="E53" t="s">
        <v>159</v>
      </c>
      <c r="F53" t="s">
        <v>52</v>
      </c>
      <c r="G53" t="s">
        <v>165</v>
      </c>
      <c r="H53">
        <v>0</v>
      </c>
      <c r="I53" s="13">
        <v>0.75</v>
      </c>
      <c r="J53" s="2">
        <v>4</v>
      </c>
      <c r="K53">
        <v>4</v>
      </c>
      <c r="L53" s="2">
        <f t="shared" si="0"/>
        <v>0</v>
      </c>
      <c r="M53">
        <v>3</v>
      </c>
      <c r="N53">
        <v>2</v>
      </c>
      <c r="O53">
        <f t="shared" si="1"/>
        <v>-1</v>
      </c>
      <c r="P53">
        <v>2</v>
      </c>
      <c r="Q53">
        <v>1</v>
      </c>
      <c r="R53">
        <f t="shared" si="2"/>
        <v>-1</v>
      </c>
      <c r="S53">
        <v>1</v>
      </c>
      <c r="T53">
        <v>2</v>
      </c>
      <c r="U53">
        <f t="shared" si="3"/>
        <v>1</v>
      </c>
      <c r="V53">
        <v>1</v>
      </c>
      <c r="W53">
        <v>1</v>
      </c>
      <c r="X53">
        <f t="shared" si="4"/>
        <v>0</v>
      </c>
      <c r="Y53" s="2">
        <v>0</v>
      </c>
      <c r="Z53" s="2">
        <v>1</v>
      </c>
      <c r="AA53" s="2">
        <v>0</v>
      </c>
      <c r="AB53">
        <f t="shared" si="5"/>
        <v>1</v>
      </c>
      <c r="AC53" s="2">
        <v>0</v>
      </c>
      <c r="AD53" s="2">
        <v>1</v>
      </c>
      <c r="AE53" s="2">
        <v>0</v>
      </c>
      <c r="AF53" s="2">
        <v>1</v>
      </c>
      <c r="AG53" s="2">
        <v>0</v>
      </c>
      <c r="AH53" s="2">
        <v>0</v>
      </c>
      <c r="AI53" s="2">
        <v>1</v>
      </c>
      <c r="AJ53" s="2">
        <v>0</v>
      </c>
      <c r="AK53">
        <f t="shared" si="6"/>
        <v>0</v>
      </c>
      <c r="AL53" t="s">
        <v>135</v>
      </c>
    </row>
    <row r="54" spans="1:38" x14ac:dyDescent="0.35">
      <c r="A54">
        <v>64</v>
      </c>
      <c r="B54" t="s">
        <v>15</v>
      </c>
      <c r="C54">
        <v>1.61</v>
      </c>
      <c r="D54" s="2">
        <v>7</v>
      </c>
      <c r="E54" t="s">
        <v>51</v>
      </c>
      <c r="F54" t="s">
        <v>55</v>
      </c>
      <c r="G54" t="s">
        <v>165</v>
      </c>
      <c r="H54">
        <v>0</v>
      </c>
      <c r="I54" s="13">
        <v>0.25</v>
      </c>
      <c r="J54" s="2">
        <v>9</v>
      </c>
      <c r="K54">
        <v>9</v>
      </c>
      <c r="L54" s="2">
        <f t="shared" si="0"/>
        <v>0</v>
      </c>
      <c r="M54">
        <v>7</v>
      </c>
      <c r="N54">
        <v>7</v>
      </c>
      <c r="O54">
        <f t="shared" si="1"/>
        <v>0</v>
      </c>
      <c r="P54">
        <v>3</v>
      </c>
      <c r="Q54">
        <v>3</v>
      </c>
      <c r="R54">
        <f t="shared" si="2"/>
        <v>0</v>
      </c>
      <c r="S54">
        <v>3</v>
      </c>
      <c r="T54">
        <v>1</v>
      </c>
      <c r="U54">
        <f t="shared" si="3"/>
        <v>-2</v>
      </c>
      <c r="V54">
        <v>1</v>
      </c>
      <c r="W54">
        <v>1</v>
      </c>
      <c r="X54">
        <f t="shared" si="4"/>
        <v>0</v>
      </c>
      <c r="Y54" s="2">
        <v>0</v>
      </c>
      <c r="Z54" s="5">
        <v>0</v>
      </c>
      <c r="AA54" s="5">
        <v>0</v>
      </c>
      <c r="AB54">
        <f t="shared" si="5"/>
        <v>0</v>
      </c>
      <c r="AC54" s="2">
        <v>0</v>
      </c>
      <c r="AD54" s="2">
        <v>0</v>
      </c>
      <c r="AE54" s="2">
        <v>0</v>
      </c>
      <c r="AF54" s="2">
        <v>0</v>
      </c>
      <c r="AG54" s="2">
        <v>0</v>
      </c>
      <c r="AH54" s="2">
        <v>0</v>
      </c>
      <c r="AI54" s="2">
        <v>0</v>
      </c>
      <c r="AJ54" s="2">
        <v>0</v>
      </c>
      <c r="AK54">
        <f t="shared" si="6"/>
        <v>1</v>
      </c>
      <c r="AL54" t="s">
        <v>139</v>
      </c>
    </row>
    <row r="55" spans="1:38" x14ac:dyDescent="0.35">
      <c r="A55">
        <v>65</v>
      </c>
      <c r="B55" t="s">
        <v>163</v>
      </c>
      <c r="C55">
        <v>0.44</v>
      </c>
      <c r="D55" s="2">
        <v>5</v>
      </c>
      <c r="E55" t="s">
        <v>161</v>
      </c>
      <c r="F55" t="s">
        <v>55</v>
      </c>
      <c r="G55" t="s">
        <v>165</v>
      </c>
      <c r="H55">
        <v>0</v>
      </c>
      <c r="I55" s="13">
        <v>0.25</v>
      </c>
      <c r="J55" s="2">
        <v>4</v>
      </c>
      <c r="K55">
        <v>5</v>
      </c>
      <c r="L55" s="2">
        <f t="shared" si="0"/>
        <v>1</v>
      </c>
      <c r="M55">
        <v>7</v>
      </c>
      <c r="N55">
        <v>6</v>
      </c>
      <c r="O55">
        <f t="shared" si="1"/>
        <v>-1</v>
      </c>
      <c r="P55">
        <v>1</v>
      </c>
      <c r="Q55">
        <v>1</v>
      </c>
      <c r="R55">
        <f t="shared" si="2"/>
        <v>0</v>
      </c>
      <c r="S55">
        <v>2</v>
      </c>
      <c r="T55">
        <v>2</v>
      </c>
      <c r="U55">
        <f t="shared" si="3"/>
        <v>0</v>
      </c>
      <c r="V55">
        <v>1</v>
      </c>
      <c r="W55">
        <v>2</v>
      </c>
      <c r="X55">
        <f t="shared" si="4"/>
        <v>1</v>
      </c>
      <c r="Y55" s="2">
        <v>0</v>
      </c>
      <c r="Z55" s="2">
        <v>1</v>
      </c>
      <c r="AA55" s="2">
        <v>1</v>
      </c>
      <c r="AB55">
        <f t="shared" si="5"/>
        <v>1</v>
      </c>
      <c r="AC55" s="2">
        <v>0</v>
      </c>
      <c r="AD55" s="2">
        <v>1</v>
      </c>
      <c r="AE55" s="2">
        <v>0</v>
      </c>
      <c r="AF55" s="2">
        <v>1</v>
      </c>
      <c r="AG55" s="2">
        <v>1</v>
      </c>
      <c r="AH55" s="2">
        <v>0</v>
      </c>
      <c r="AI55" s="2">
        <v>1</v>
      </c>
      <c r="AJ55" s="2">
        <v>0</v>
      </c>
      <c r="AK55">
        <f t="shared" si="6"/>
        <v>0</v>
      </c>
      <c r="AL55" t="s">
        <v>136</v>
      </c>
    </row>
    <row r="56" spans="1:38" x14ac:dyDescent="0.35">
      <c r="A56">
        <v>66</v>
      </c>
      <c r="B56" t="s">
        <v>17</v>
      </c>
      <c r="C56">
        <v>-0.04</v>
      </c>
      <c r="D56" s="2">
        <v>40</v>
      </c>
      <c r="E56" t="s">
        <v>161</v>
      </c>
      <c r="F56" t="s">
        <v>52</v>
      </c>
      <c r="G56" t="s">
        <v>165</v>
      </c>
      <c r="H56">
        <v>0</v>
      </c>
      <c r="I56" s="13">
        <v>0.25</v>
      </c>
      <c r="J56" s="2">
        <v>8</v>
      </c>
      <c r="K56">
        <v>10</v>
      </c>
      <c r="L56" s="2">
        <f t="shared" si="0"/>
        <v>2</v>
      </c>
      <c r="M56">
        <v>8</v>
      </c>
      <c r="N56">
        <v>8</v>
      </c>
      <c r="O56">
        <f t="shared" si="1"/>
        <v>0</v>
      </c>
      <c r="P56">
        <v>2</v>
      </c>
      <c r="Q56">
        <v>2</v>
      </c>
      <c r="R56">
        <f t="shared" si="2"/>
        <v>0</v>
      </c>
      <c r="S56">
        <v>5</v>
      </c>
      <c r="T56">
        <v>5</v>
      </c>
      <c r="U56">
        <f t="shared" si="3"/>
        <v>0</v>
      </c>
      <c r="V56">
        <v>0</v>
      </c>
      <c r="W56">
        <v>0</v>
      </c>
      <c r="X56">
        <f t="shared" si="4"/>
        <v>0</v>
      </c>
      <c r="Y56" s="2">
        <v>0</v>
      </c>
      <c r="Z56" s="2">
        <v>0</v>
      </c>
      <c r="AA56" s="2">
        <v>0</v>
      </c>
      <c r="AB56">
        <f t="shared" si="5"/>
        <v>0</v>
      </c>
      <c r="AC56" s="2">
        <v>0</v>
      </c>
      <c r="AD56" s="2">
        <v>1</v>
      </c>
      <c r="AE56" s="2">
        <v>0</v>
      </c>
      <c r="AF56" s="2">
        <v>1</v>
      </c>
      <c r="AG56" s="2">
        <v>0</v>
      </c>
      <c r="AH56" s="2">
        <v>1</v>
      </c>
      <c r="AI56" s="2">
        <v>0</v>
      </c>
      <c r="AJ56" s="2">
        <v>0</v>
      </c>
      <c r="AK56">
        <f t="shared" si="6"/>
        <v>0</v>
      </c>
      <c r="AL56" t="s">
        <v>139</v>
      </c>
    </row>
    <row r="57" spans="1:38" x14ac:dyDescent="0.35">
      <c r="A57">
        <v>67</v>
      </c>
      <c r="B57" t="s">
        <v>163</v>
      </c>
      <c r="C57">
        <v>0.44</v>
      </c>
      <c r="D57" s="2">
        <v>11</v>
      </c>
      <c r="E57" t="s">
        <v>60</v>
      </c>
      <c r="F57" t="s">
        <v>55</v>
      </c>
      <c r="G57" t="s">
        <v>165</v>
      </c>
      <c r="H57">
        <v>0</v>
      </c>
      <c r="I57" s="13">
        <v>0.25</v>
      </c>
      <c r="J57" s="2">
        <v>5</v>
      </c>
      <c r="K57">
        <v>5</v>
      </c>
      <c r="L57" s="2">
        <f t="shared" si="0"/>
        <v>0</v>
      </c>
      <c r="M57">
        <v>1</v>
      </c>
      <c r="N57">
        <v>1</v>
      </c>
      <c r="O57">
        <f t="shared" si="1"/>
        <v>0</v>
      </c>
      <c r="P57">
        <v>1</v>
      </c>
      <c r="Q57">
        <v>1</v>
      </c>
      <c r="R57">
        <f t="shared" si="2"/>
        <v>0</v>
      </c>
      <c r="S57">
        <v>3</v>
      </c>
      <c r="T57">
        <v>1</v>
      </c>
      <c r="U57">
        <f t="shared" si="3"/>
        <v>-2</v>
      </c>
      <c r="V57">
        <v>0</v>
      </c>
      <c r="W57">
        <v>0</v>
      </c>
      <c r="X57">
        <f t="shared" si="4"/>
        <v>0</v>
      </c>
      <c r="Y57" s="2">
        <v>0</v>
      </c>
      <c r="Z57" s="2">
        <v>1</v>
      </c>
      <c r="AA57" s="2">
        <v>1</v>
      </c>
      <c r="AB57">
        <f t="shared" ref="AB57:AB116" si="7">IF(Z57+AA57&gt;0,1,0)</f>
        <v>1</v>
      </c>
      <c r="AC57" s="2">
        <v>0</v>
      </c>
      <c r="AD57" s="2">
        <v>1</v>
      </c>
      <c r="AE57" s="2">
        <v>0</v>
      </c>
      <c r="AF57" s="2">
        <v>0</v>
      </c>
      <c r="AG57" s="2">
        <v>0</v>
      </c>
      <c r="AH57" s="2">
        <v>0</v>
      </c>
      <c r="AI57" s="2">
        <v>0</v>
      </c>
      <c r="AJ57" s="2">
        <v>0</v>
      </c>
      <c r="AK57">
        <f t="shared" si="6"/>
        <v>0</v>
      </c>
      <c r="AL57" t="s">
        <v>136</v>
      </c>
    </row>
    <row r="58" spans="1:38" x14ac:dyDescent="0.35">
      <c r="A58">
        <v>68</v>
      </c>
      <c r="B58" t="s">
        <v>17</v>
      </c>
      <c r="C58">
        <v>-0.04</v>
      </c>
      <c r="D58" s="2">
        <v>40</v>
      </c>
      <c r="E58" t="s">
        <v>159</v>
      </c>
      <c r="F58" t="s">
        <v>52</v>
      </c>
      <c r="G58" t="s">
        <v>165</v>
      </c>
      <c r="H58">
        <v>0</v>
      </c>
      <c r="I58" s="13">
        <v>0</v>
      </c>
      <c r="J58" s="2">
        <v>1</v>
      </c>
      <c r="K58">
        <v>1</v>
      </c>
      <c r="L58" s="2">
        <f t="shared" si="0"/>
        <v>0</v>
      </c>
      <c r="M58">
        <v>6</v>
      </c>
      <c r="N58">
        <v>4</v>
      </c>
      <c r="O58">
        <f t="shared" si="1"/>
        <v>-2</v>
      </c>
      <c r="P58">
        <v>1</v>
      </c>
      <c r="Q58">
        <v>1</v>
      </c>
      <c r="R58">
        <f t="shared" si="2"/>
        <v>0</v>
      </c>
      <c r="S58">
        <v>3</v>
      </c>
      <c r="T58">
        <v>1</v>
      </c>
      <c r="U58">
        <f t="shared" si="3"/>
        <v>-2</v>
      </c>
      <c r="V58">
        <v>0</v>
      </c>
      <c r="W58">
        <v>0</v>
      </c>
      <c r="X58">
        <f t="shared" si="4"/>
        <v>0</v>
      </c>
      <c r="Y58" s="2">
        <v>0</v>
      </c>
      <c r="Z58" s="2">
        <v>0</v>
      </c>
      <c r="AA58" s="2">
        <v>1</v>
      </c>
      <c r="AB58">
        <f t="shared" si="7"/>
        <v>1</v>
      </c>
      <c r="AC58" s="2">
        <v>0</v>
      </c>
      <c r="AD58" s="2">
        <v>1</v>
      </c>
      <c r="AE58" s="2">
        <v>0</v>
      </c>
      <c r="AF58" s="2">
        <v>1</v>
      </c>
      <c r="AG58" s="2">
        <v>0</v>
      </c>
      <c r="AH58" s="2">
        <v>1</v>
      </c>
      <c r="AI58" s="2">
        <v>0</v>
      </c>
      <c r="AJ58" s="2">
        <v>1</v>
      </c>
      <c r="AK58">
        <f t="shared" si="6"/>
        <v>0</v>
      </c>
      <c r="AL58" t="s">
        <v>46</v>
      </c>
    </row>
    <row r="59" spans="1:38" x14ac:dyDescent="0.35">
      <c r="A59">
        <v>69</v>
      </c>
      <c r="B59" t="s">
        <v>15</v>
      </c>
      <c r="C59">
        <v>1.61</v>
      </c>
      <c r="D59" s="2">
        <v>7</v>
      </c>
      <c r="E59" t="s">
        <v>51</v>
      </c>
      <c r="F59" t="s">
        <v>55</v>
      </c>
      <c r="G59" t="s">
        <v>165</v>
      </c>
      <c r="H59">
        <v>1</v>
      </c>
      <c r="I59" s="13">
        <v>1</v>
      </c>
      <c r="J59" s="2">
        <v>16</v>
      </c>
      <c r="K59">
        <v>15</v>
      </c>
      <c r="L59" s="2">
        <f t="shared" si="0"/>
        <v>-1</v>
      </c>
      <c r="M59">
        <v>5</v>
      </c>
      <c r="N59">
        <v>1</v>
      </c>
      <c r="O59">
        <f t="shared" si="1"/>
        <v>-4</v>
      </c>
      <c r="P59">
        <v>3</v>
      </c>
      <c r="Q59">
        <v>3</v>
      </c>
      <c r="R59">
        <f t="shared" si="2"/>
        <v>0</v>
      </c>
      <c r="S59">
        <v>3</v>
      </c>
      <c r="T59">
        <v>3</v>
      </c>
      <c r="U59">
        <f t="shared" si="3"/>
        <v>0</v>
      </c>
      <c r="V59">
        <v>1</v>
      </c>
      <c r="W59">
        <v>2</v>
      </c>
      <c r="X59">
        <f t="shared" si="4"/>
        <v>1</v>
      </c>
      <c r="Y59" s="2">
        <v>0</v>
      </c>
      <c r="Z59" s="5">
        <v>1</v>
      </c>
      <c r="AA59" s="5">
        <v>1</v>
      </c>
      <c r="AB59">
        <f t="shared" si="7"/>
        <v>1</v>
      </c>
      <c r="AC59" s="2">
        <v>1</v>
      </c>
      <c r="AD59" s="2">
        <v>1</v>
      </c>
      <c r="AE59" s="2">
        <v>0</v>
      </c>
      <c r="AF59" s="2">
        <v>1</v>
      </c>
      <c r="AG59" s="5">
        <v>1</v>
      </c>
      <c r="AH59" s="5">
        <v>0</v>
      </c>
      <c r="AI59" s="2">
        <v>1</v>
      </c>
      <c r="AJ59" s="2">
        <v>0</v>
      </c>
      <c r="AK59">
        <f t="shared" si="6"/>
        <v>0</v>
      </c>
      <c r="AL59" t="s">
        <v>136</v>
      </c>
    </row>
    <row r="60" spans="1:38" x14ac:dyDescent="0.35">
      <c r="A60">
        <v>70</v>
      </c>
      <c r="B60" t="s">
        <v>15</v>
      </c>
      <c r="C60">
        <v>1.61</v>
      </c>
      <c r="D60" s="2">
        <v>7</v>
      </c>
      <c r="E60" t="s">
        <v>51</v>
      </c>
      <c r="F60" t="s">
        <v>54</v>
      </c>
      <c r="G60" t="s">
        <v>166</v>
      </c>
      <c r="H60">
        <v>0</v>
      </c>
      <c r="I60" s="13">
        <v>0.5</v>
      </c>
      <c r="J60" s="2">
        <v>8</v>
      </c>
      <c r="K60">
        <v>8</v>
      </c>
      <c r="L60" s="2">
        <f t="shared" si="0"/>
        <v>0</v>
      </c>
      <c r="M60">
        <v>8</v>
      </c>
      <c r="N60">
        <v>8</v>
      </c>
      <c r="O60">
        <f t="shared" si="1"/>
        <v>0</v>
      </c>
      <c r="P60">
        <v>3</v>
      </c>
      <c r="Q60">
        <v>3</v>
      </c>
      <c r="R60">
        <f t="shared" si="2"/>
        <v>0</v>
      </c>
      <c r="S60">
        <v>3</v>
      </c>
      <c r="T60">
        <v>3</v>
      </c>
      <c r="U60">
        <f t="shared" si="3"/>
        <v>0</v>
      </c>
      <c r="V60">
        <v>1</v>
      </c>
      <c r="W60">
        <v>1</v>
      </c>
      <c r="X60">
        <f t="shared" si="4"/>
        <v>0</v>
      </c>
      <c r="Y60" s="2">
        <v>0</v>
      </c>
      <c r="Z60" s="5">
        <v>1</v>
      </c>
      <c r="AA60" s="5">
        <v>1</v>
      </c>
      <c r="AB60">
        <f t="shared" si="7"/>
        <v>1</v>
      </c>
      <c r="AC60" s="2">
        <v>1</v>
      </c>
      <c r="AD60" s="2">
        <v>0</v>
      </c>
      <c r="AE60" s="2">
        <v>0</v>
      </c>
      <c r="AF60" s="2">
        <v>1</v>
      </c>
      <c r="AG60" s="2">
        <v>0</v>
      </c>
      <c r="AH60" s="2">
        <v>0</v>
      </c>
      <c r="AI60" s="2">
        <v>1</v>
      </c>
      <c r="AJ60" s="2">
        <v>1</v>
      </c>
      <c r="AK60">
        <f t="shared" si="6"/>
        <v>0</v>
      </c>
      <c r="AL60" t="s">
        <v>137</v>
      </c>
    </row>
    <row r="61" spans="1:38" x14ac:dyDescent="0.35">
      <c r="A61">
        <v>71</v>
      </c>
      <c r="B61" t="s">
        <v>15</v>
      </c>
      <c r="C61">
        <v>1.61</v>
      </c>
      <c r="D61" s="2">
        <v>9</v>
      </c>
      <c r="E61" t="s">
        <v>51</v>
      </c>
      <c r="F61" t="s">
        <v>53</v>
      </c>
      <c r="G61" t="s">
        <v>165</v>
      </c>
      <c r="H61">
        <v>1</v>
      </c>
      <c r="I61" s="13">
        <v>1</v>
      </c>
      <c r="J61" s="2">
        <v>4</v>
      </c>
      <c r="K61">
        <v>3</v>
      </c>
      <c r="L61" s="2">
        <f t="shared" si="0"/>
        <v>-1</v>
      </c>
      <c r="M61">
        <v>9</v>
      </c>
      <c r="N61">
        <v>1</v>
      </c>
      <c r="O61">
        <f t="shared" si="1"/>
        <v>-8</v>
      </c>
      <c r="P61">
        <v>2</v>
      </c>
      <c r="Q61">
        <v>2</v>
      </c>
      <c r="R61">
        <f t="shared" si="2"/>
        <v>0</v>
      </c>
      <c r="S61">
        <v>2</v>
      </c>
      <c r="T61">
        <v>3</v>
      </c>
      <c r="U61">
        <f t="shared" si="3"/>
        <v>1</v>
      </c>
      <c r="V61">
        <v>1</v>
      </c>
      <c r="W61">
        <v>2</v>
      </c>
      <c r="X61">
        <f t="shared" si="4"/>
        <v>1</v>
      </c>
      <c r="Y61" s="2">
        <v>0</v>
      </c>
      <c r="Z61" s="5">
        <v>0</v>
      </c>
      <c r="AA61" s="5">
        <v>0</v>
      </c>
      <c r="AB61">
        <f t="shared" si="7"/>
        <v>0</v>
      </c>
      <c r="AC61" s="2">
        <v>0</v>
      </c>
      <c r="AD61" s="2">
        <v>0</v>
      </c>
      <c r="AE61" s="2">
        <v>0</v>
      </c>
      <c r="AF61" s="2">
        <v>1</v>
      </c>
      <c r="AG61" s="5">
        <v>1</v>
      </c>
      <c r="AH61" s="5">
        <v>0</v>
      </c>
      <c r="AI61" s="2">
        <v>1</v>
      </c>
      <c r="AJ61" s="2">
        <v>0</v>
      </c>
      <c r="AK61">
        <f t="shared" si="6"/>
        <v>0</v>
      </c>
      <c r="AL61" t="s">
        <v>7</v>
      </c>
    </row>
    <row r="62" spans="1:38" x14ac:dyDescent="0.35">
      <c r="A62">
        <v>72</v>
      </c>
      <c r="B62" t="s">
        <v>17</v>
      </c>
      <c r="C62">
        <v>-0.04</v>
      </c>
      <c r="D62" s="2">
        <v>89</v>
      </c>
      <c r="E62" t="s">
        <v>159</v>
      </c>
      <c r="F62" t="s">
        <v>54</v>
      </c>
      <c r="G62" t="s">
        <v>165</v>
      </c>
      <c r="H62">
        <v>0</v>
      </c>
      <c r="I62" s="13">
        <v>0</v>
      </c>
      <c r="J62" s="2">
        <v>3</v>
      </c>
      <c r="K62">
        <v>3</v>
      </c>
      <c r="L62" s="2">
        <f t="shared" si="0"/>
        <v>0</v>
      </c>
      <c r="M62">
        <v>8</v>
      </c>
      <c r="N62">
        <v>8</v>
      </c>
      <c r="O62">
        <f t="shared" si="1"/>
        <v>0</v>
      </c>
      <c r="P62">
        <v>2</v>
      </c>
      <c r="Q62">
        <v>2</v>
      </c>
      <c r="R62">
        <f t="shared" si="2"/>
        <v>0</v>
      </c>
      <c r="S62">
        <v>1</v>
      </c>
      <c r="T62">
        <v>1</v>
      </c>
      <c r="U62">
        <f t="shared" si="3"/>
        <v>0</v>
      </c>
      <c r="V62">
        <v>1</v>
      </c>
      <c r="W62">
        <v>1</v>
      </c>
      <c r="X62">
        <f t="shared" si="4"/>
        <v>0</v>
      </c>
      <c r="Y62" s="2">
        <v>0</v>
      </c>
      <c r="Z62" s="2">
        <v>0</v>
      </c>
      <c r="AA62" s="2">
        <v>0</v>
      </c>
      <c r="AB62">
        <f t="shared" si="7"/>
        <v>0</v>
      </c>
      <c r="AC62" s="2">
        <v>0</v>
      </c>
      <c r="AD62" s="2">
        <v>0</v>
      </c>
      <c r="AE62" s="2">
        <v>0</v>
      </c>
      <c r="AF62" s="2">
        <v>0</v>
      </c>
      <c r="AG62" s="2">
        <v>0</v>
      </c>
      <c r="AH62" s="2">
        <v>0</v>
      </c>
      <c r="AI62" s="2">
        <v>0</v>
      </c>
      <c r="AJ62" s="2">
        <v>0</v>
      </c>
      <c r="AK62">
        <f t="shared" si="6"/>
        <v>1</v>
      </c>
      <c r="AL62" t="s">
        <v>139</v>
      </c>
    </row>
    <row r="63" spans="1:38" x14ac:dyDescent="0.35">
      <c r="A63">
        <v>73</v>
      </c>
      <c r="B63" t="s">
        <v>15</v>
      </c>
      <c r="C63">
        <v>1.61</v>
      </c>
      <c r="D63" s="2">
        <v>8</v>
      </c>
      <c r="E63" t="s">
        <v>51</v>
      </c>
      <c r="F63" t="s">
        <v>52</v>
      </c>
      <c r="G63" t="s">
        <v>166</v>
      </c>
      <c r="H63">
        <v>0</v>
      </c>
      <c r="I63" s="13">
        <v>0.25</v>
      </c>
      <c r="J63" s="2">
        <v>3</v>
      </c>
      <c r="K63">
        <v>1</v>
      </c>
      <c r="L63" s="2">
        <f t="shared" si="0"/>
        <v>-2</v>
      </c>
      <c r="M63">
        <v>9</v>
      </c>
      <c r="N63">
        <v>9</v>
      </c>
      <c r="O63">
        <f t="shared" si="1"/>
        <v>0</v>
      </c>
      <c r="P63">
        <v>3</v>
      </c>
      <c r="Q63">
        <v>3</v>
      </c>
      <c r="R63">
        <f t="shared" si="2"/>
        <v>0</v>
      </c>
      <c r="S63">
        <v>1</v>
      </c>
      <c r="T63">
        <v>1</v>
      </c>
      <c r="U63">
        <f t="shared" si="3"/>
        <v>0</v>
      </c>
      <c r="V63">
        <v>1</v>
      </c>
      <c r="W63">
        <v>1</v>
      </c>
      <c r="X63">
        <f t="shared" si="4"/>
        <v>0</v>
      </c>
      <c r="Y63" s="2">
        <v>0</v>
      </c>
      <c r="Z63" s="5">
        <v>1</v>
      </c>
      <c r="AA63" s="5">
        <v>0</v>
      </c>
      <c r="AB63">
        <f t="shared" si="7"/>
        <v>1</v>
      </c>
      <c r="AC63" s="2">
        <v>0</v>
      </c>
      <c r="AD63" s="2">
        <v>0</v>
      </c>
      <c r="AE63" s="2">
        <v>0</v>
      </c>
      <c r="AF63" s="2">
        <v>1</v>
      </c>
      <c r="AG63" s="2">
        <v>0</v>
      </c>
      <c r="AH63" s="2">
        <v>0</v>
      </c>
      <c r="AI63" s="2">
        <v>0</v>
      </c>
      <c r="AJ63" s="2">
        <v>0</v>
      </c>
      <c r="AK63">
        <f t="shared" si="6"/>
        <v>0</v>
      </c>
      <c r="AL63" t="s">
        <v>135</v>
      </c>
    </row>
    <row r="64" spans="1:38" x14ac:dyDescent="0.35">
      <c r="A64">
        <v>74</v>
      </c>
      <c r="B64" t="s">
        <v>15</v>
      </c>
      <c r="C64">
        <v>1.61</v>
      </c>
      <c r="D64" s="5">
        <v>8</v>
      </c>
      <c r="E64" t="s">
        <v>51</v>
      </c>
      <c r="F64" t="s">
        <v>55</v>
      </c>
      <c r="G64" t="s">
        <v>165</v>
      </c>
      <c r="H64">
        <v>1</v>
      </c>
      <c r="I64" s="13">
        <v>1</v>
      </c>
      <c r="J64" s="2">
        <v>6</v>
      </c>
      <c r="K64">
        <v>6</v>
      </c>
      <c r="L64" s="2">
        <f t="shared" si="0"/>
        <v>0</v>
      </c>
      <c r="M64">
        <v>4</v>
      </c>
      <c r="N64">
        <v>2</v>
      </c>
      <c r="O64">
        <f t="shared" si="1"/>
        <v>-2</v>
      </c>
      <c r="P64">
        <v>2</v>
      </c>
      <c r="Q64">
        <v>1</v>
      </c>
      <c r="R64">
        <f t="shared" si="2"/>
        <v>-1</v>
      </c>
      <c r="S64">
        <v>4</v>
      </c>
      <c r="T64">
        <v>2</v>
      </c>
      <c r="U64">
        <f t="shared" si="3"/>
        <v>-2</v>
      </c>
      <c r="V64">
        <v>2</v>
      </c>
      <c r="W64">
        <v>2</v>
      </c>
      <c r="X64">
        <f t="shared" si="4"/>
        <v>0</v>
      </c>
      <c r="Y64" s="2">
        <v>1</v>
      </c>
      <c r="Z64" s="5">
        <v>1</v>
      </c>
      <c r="AA64" s="5">
        <v>0</v>
      </c>
      <c r="AB64">
        <f t="shared" si="7"/>
        <v>1</v>
      </c>
      <c r="AC64" s="2">
        <v>1</v>
      </c>
      <c r="AD64" s="2">
        <v>1</v>
      </c>
      <c r="AE64" s="2">
        <v>0</v>
      </c>
      <c r="AF64" s="2">
        <v>1</v>
      </c>
      <c r="AG64" s="5">
        <v>1</v>
      </c>
      <c r="AH64" s="5">
        <v>0</v>
      </c>
      <c r="AI64" s="2">
        <v>1</v>
      </c>
      <c r="AJ64" s="2">
        <v>0</v>
      </c>
      <c r="AK64">
        <f t="shared" si="6"/>
        <v>0</v>
      </c>
      <c r="AL64" s="9" t="s">
        <v>5</v>
      </c>
    </row>
    <row r="65" spans="1:38" x14ac:dyDescent="0.35">
      <c r="A65">
        <v>75</v>
      </c>
      <c r="B65" t="s">
        <v>164</v>
      </c>
      <c r="C65">
        <v>1.47</v>
      </c>
      <c r="D65" s="2">
        <v>39</v>
      </c>
      <c r="E65" t="s">
        <v>161</v>
      </c>
      <c r="F65" t="s">
        <v>55</v>
      </c>
      <c r="G65" t="s">
        <v>165</v>
      </c>
      <c r="H65">
        <v>0</v>
      </c>
      <c r="I65" s="13">
        <v>0.75</v>
      </c>
      <c r="J65" s="2">
        <v>3</v>
      </c>
      <c r="K65">
        <v>3</v>
      </c>
      <c r="L65" s="2">
        <f t="shared" si="0"/>
        <v>0</v>
      </c>
      <c r="M65">
        <v>6</v>
      </c>
      <c r="N65">
        <v>3</v>
      </c>
      <c r="O65">
        <f t="shared" si="1"/>
        <v>-3</v>
      </c>
      <c r="P65">
        <v>3</v>
      </c>
      <c r="Q65">
        <v>3</v>
      </c>
      <c r="R65">
        <f t="shared" si="2"/>
        <v>0</v>
      </c>
      <c r="S65">
        <v>5</v>
      </c>
      <c r="T65">
        <v>5</v>
      </c>
      <c r="U65">
        <f t="shared" si="3"/>
        <v>0</v>
      </c>
      <c r="V65">
        <v>1</v>
      </c>
      <c r="W65">
        <v>1</v>
      </c>
      <c r="X65">
        <f t="shared" si="4"/>
        <v>0</v>
      </c>
      <c r="Y65" s="2">
        <v>0</v>
      </c>
      <c r="Z65" s="2">
        <v>0</v>
      </c>
      <c r="AA65" s="2">
        <v>1</v>
      </c>
      <c r="AB65">
        <f t="shared" si="7"/>
        <v>1</v>
      </c>
      <c r="AC65" s="2">
        <v>1</v>
      </c>
      <c r="AD65" s="2">
        <v>1</v>
      </c>
      <c r="AE65" s="2">
        <v>0</v>
      </c>
      <c r="AF65" s="2">
        <v>1</v>
      </c>
      <c r="AG65" s="2">
        <v>0</v>
      </c>
      <c r="AH65" s="2">
        <v>0</v>
      </c>
      <c r="AI65" s="2">
        <v>1</v>
      </c>
      <c r="AJ65" s="2">
        <v>1</v>
      </c>
      <c r="AK65">
        <f t="shared" si="6"/>
        <v>0</v>
      </c>
      <c r="AL65" t="s">
        <v>8</v>
      </c>
    </row>
    <row r="66" spans="1:38" x14ac:dyDescent="0.35">
      <c r="A66">
        <v>76</v>
      </c>
      <c r="B66" t="s">
        <v>163</v>
      </c>
      <c r="C66">
        <v>0.44</v>
      </c>
      <c r="D66" s="5">
        <v>12</v>
      </c>
      <c r="E66" t="s">
        <v>161</v>
      </c>
      <c r="F66" t="s">
        <v>55</v>
      </c>
      <c r="G66" t="s">
        <v>165</v>
      </c>
      <c r="H66">
        <v>0</v>
      </c>
      <c r="I66" s="13">
        <v>0.5</v>
      </c>
      <c r="J66" s="2">
        <v>2</v>
      </c>
      <c r="K66">
        <v>2</v>
      </c>
      <c r="L66" s="2">
        <f t="shared" si="0"/>
        <v>0</v>
      </c>
      <c r="M66">
        <v>7</v>
      </c>
      <c r="N66">
        <v>7</v>
      </c>
      <c r="O66">
        <f t="shared" si="1"/>
        <v>0</v>
      </c>
      <c r="P66">
        <v>3</v>
      </c>
      <c r="Q66">
        <v>3</v>
      </c>
      <c r="R66">
        <f t="shared" si="2"/>
        <v>0</v>
      </c>
      <c r="S66">
        <v>3</v>
      </c>
      <c r="T66">
        <v>3</v>
      </c>
      <c r="U66">
        <f t="shared" si="3"/>
        <v>0</v>
      </c>
      <c r="V66">
        <v>1</v>
      </c>
      <c r="W66">
        <v>1</v>
      </c>
      <c r="X66">
        <f t="shared" si="4"/>
        <v>0</v>
      </c>
      <c r="Y66" s="2">
        <v>1</v>
      </c>
      <c r="Z66" s="2">
        <v>1</v>
      </c>
      <c r="AA66" s="2">
        <v>1</v>
      </c>
      <c r="AB66">
        <f t="shared" si="7"/>
        <v>1</v>
      </c>
      <c r="AC66" s="2">
        <v>0</v>
      </c>
      <c r="AD66" s="2">
        <v>1</v>
      </c>
      <c r="AE66" s="2">
        <v>0</v>
      </c>
      <c r="AF66" s="2">
        <v>1</v>
      </c>
      <c r="AG66" s="2">
        <v>0</v>
      </c>
      <c r="AH66" s="2">
        <v>0</v>
      </c>
      <c r="AI66" s="2">
        <v>1</v>
      </c>
      <c r="AJ66" s="2">
        <v>0</v>
      </c>
      <c r="AK66">
        <f t="shared" si="6"/>
        <v>0</v>
      </c>
      <c r="AL66" s="9" t="s">
        <v>38</v>
      </c>
    </row>
    <row r="67" spans="1:38" x14ac:dyDescent="0.35">
      <c r="A67">
        <v>78</v>
      </c>
      <c r="B67" t="s">
        <v>15</v>
      </c>
      <c r="C67">
        <v>1.61</v>
      </c>
      <c r="D67" s="2">
        <v>30</v>
      </c>
      <c r="E67" t="s">
        <v>51</v>
      </c>
      <c r="F67" t="s">
        <v>58</v>
      </c>
      <c r="G67" t="s">
        <v>166</v>
      </c>
      <c r="H67">
        <v>0</v>
      </c>
      <c r="I67" s="13">
        <v>0</v>
      </c>
      <c r="J67" s="2">
        <v>10</v>
      </c>
      <c r="K67">
        <v>10</v>
      </c>
      <c r="L67" s="2">
        <f t="shared" ref="L67:L130" si="8">K67-J67</f>
        <v>0</v>
      </c>
      <c r="M67">
        <v>9</v>
      </c>
      <c r="N67">
        <v>8</v>
      </c>
      <c r="O67">
        <f t="shared" ref="O67:O130" si="9">N67-M67</f>
        <v>-1</v>
      </c>
      <c r="P67">
        <v>1</v>
      </c>
      <c r="Q67">
        <v>1</v>
      </c>
      <c r="R67">
        <f t="shared" ref="R67:R130" si="10">Q67-P67</f>
        <v>0</v>
      </c>
      <c r="S67">
        <v>1</v>
      </c>
      <c r="T67">
        <v>1</v>
      </c>
      <c r="U67">
        <f t="shared" ref="U67:U130" si="11">T67-S67</f>
        <v>0</v>
      </c>
      <c r="V67">
        <v>0</v>
      </c>
      <c r="W67">
        <v>0</v>
      </c>
      <c r="X67">
        <f t="shared" ref="X67:X130" si="12">W67-V67</f>
        <v>0</v>
      </c>
      <c r="Y67" s="2">
        <v>0</v>
      </c>
      <c r="Z67" s="5">
        <v>0</v>
      </c>
      <c r="AA67" s="5">
        <v>0</v>
      </c>
      <c r="AB67">
        <f t="shared" si="7"/>
        <v>0</v>
      </c>
      <c r="AC67" s="2">
        <v>0</v>
      </c>
      <c r="AD67" s="2">
        <v>0</v>
      </c>
      <c r="AE67" s="2">
        <v>0</v>
      </c>
      <c r="AF67" s="2">
        <v>0</v>
      </c>
      <c r="AG67" s="2">
        <v>0</v>
      </c>
      <c r="AH67" s="2">
        <v>0</v>
      </c>
      <c r="AI67" s="2">
        <v>0</v>
      </c>
      <c r="AJ67" s="2">
        <v>0</v>
      </c>
      <c r="AK67">
        <f t="shared" ref="AK67:AK130" si="13">IF(Y67+Z67+AA67+AC67+AD67+AE67+AF67+AG67+AH67+AI67+AJ67=0,1,0)</f>
        <v>1</v>
      </c>
      <c r="AL67" t="s">
        <v>139</v>
      </c>
    </row>
    <row r="68" spans="1:38" x14ac:dyDescent="0.35">
      <c r="A68">
        <v>79</v>
      </c>
      <c r="B68" t="s">
        <v>13</v>
      </c>
      <c r="C68">
        <v>1.42</v>
      </c>
      <c r="D68" s="5">
        <v>4</v>
      </c>
      <c r="E68" t="s">
        <v>159</v>
      </c>
      <c r="F68" t="s">
        <v>58</v>
      </c>
      <c r="G68" t="s">
        <v>166</v>
      </c>
      <c r="H68">
        <v>0</v>
      </c>
      <c r="I68" s="13">
        <v>0.25</v>
      </c>
      <c r="J68" s="2">
        <v>2</v>
      </c>
      <c r="K68">
        <v>2</v>
      </c>
      <c r="L68" s="2">
        <f t="shared" si="8"/>
        <v>0</v>
      </c>
      <c r="M68">
        <v>5</v>
      </c>
      <c r="N68">
        <v>5</v>
      </c>
      <c r="O68">
        <f t="shared" si="9"/>
        <v>0</v>
      </c>
      <c r="P68">
        <v>3</v>
      </c>
      <c r="Q68">
        <v>3</v>
      </c>
      <c r="R68">
        <f t="shared" si="10"/>
        <v>0</v>
      </c>
      <c r="S68">
        <v>2</v>
      </c>
      <c r="T68">
        <v>2</v>
      </c>
      <c r="U68">
        <f t="shared" si="11"/>
        <v>0</v>
      </c>
      <c r="V68">
        <v>1</v>
      </c>
      <c r="W68">
        <v>1</v>
      </c>
      <c r="X68">
        <f t="shared" si="12"/>
        <v>0</v>
      </c>
      <c r="Y68" s="2">
        <v>0</v>
      </c>
      <c r="Z68" s="2">
        <v>0</v>
      </c>
      <c r="AA68" s="2">
        <v>0</v>
      </c>
      <c r="AB68">
        <f t="shared" si="7"/>
        <v>0</v>
      </c>
      <c r="AC68" s="2">
        <v>0</v>
      </c>
      <c r="AD68" s="2">
        <v>1</v>
      </c>
      <c r="AE68" s="2">
        <v>0</v>
      </c>
      <c r="AF68" s="2">
        <v>1</v>
      </c>
      <c r="AG68" s="2">
        <v>0</v>
      </c>
      <c r="AH68" s="2">
        <v>0</v>
      </c>
      <c r="AI68" s="2">
        <v>1</v>
      </c>
      <c r="AJ68" s="2">
        <v>0</v>
      </c>
      <c r="AK68">
        <f t="shared" si="13"/>
        <v>0</v>
      </c>
      <c r="AL68" s="9" t="s">
        <v>5</v>
      </c>
    </row>
    <row r="69" spans="1:38" x14ac:dyDescent="0.35">
      <c r="A69">
        <v>80</v>
      </c>
      <c r="B69" t="s">
        <v>164</v>
      </c>
      <c r="C69">
        <v>1.47</v>
      </c>
      <c r="D69" s="2">
        <v>46</v>
      </c>
      <c r="E69" t="s">
        <v>161</v>
      </c>
      <c r="F69" t="s">
        <v>52</v>
      </c>
      <c r="G69" t="s">
        <v>166</v>
      </c>
      <c r="H69">
        <v>0</v>
      </c>
      <c r="I69" s="13">
        <v>1</v>
      </c>
      <c r="J69" s="2">
        <v>4</v>
      </c>
      <c r="K69">
        <v>4</v>
      </c>
      <c r="L69" s="2">
        <f t="shared" si="8"/>
        <v>0</v>
      </c>
      <c r="M69">
        <v>5</v>
      </c>
      <c r="N69">
        <v>3</v>
      </c>
      <c r="O69">
        <f t="shared" si="9"/>
        <v>-2</v>
      </c>
      <c r="P69">
        <v>2</v>
      </c>
      <c r="Q69">
        <v>2</v>
      </c>
      <c r="R69">
        <f t="shared" si="10"/>
        <v>0</v>
      </c>
      <c r="S69">
        <v>3</v>
      </c>
      <c r="T69">
        <v>5</v>
      </c>
      <c r="U69">
        <f t="shared" si="11"/>
        <v>2</v>
      </c>
      <c r="V69">
        <v>1</v>
      </c>
      <c r="W69">
        <v>1</v>
      </c>
      <c r="X69">
        <f t="shared" si="12"/>
        <v>0</v>
      </c>
      <c r="Y69" s="2">
        <v>0</v>
      </c>
      <c r="Z69" s="2">
        <v>0</v>
      </c>
      <c r="AA69" s="2">
        <v>0</v>
      </c>
      <c r="AB69">
        <f t="shared" si="7"/>
        <v>0</v>
      </c>
      <c r="AC69" s="2">
        <v>0</v>
      </c>
      <c r="AD69" s="2">
        <v>1</v>
      </c>
      <c r="AE69" s="2">
        <v>0</v>
      </c>
      <c r="AF69" s="2">
        <v>1</v>
      </c>
      <c r="AG69" s="2">
        <v>0</v>
      </c>
      <c r="AH69" s="2">
        <v>0</v>
      </c>
      <c r="AI69" s="2">
        <v>0</v>
      </c>
      <c r="AJ69" s="2">
        <v>1</v>
      </c>
      <c r="AK69">
        <f t="shared" si="13"/>
        <v>0</v>
      </c>
      <c r="AL69" t="s">
        <v>42</v>
      </c>
    </row>
    <row r="70" spans="1:38" x14ac:dyDescent="0.35">
      <c r="A70">
        <v>81</v>
      </c>
      <c r="B70" t="s">
        <v>164</v>
      </c>
      <c r="C70">
        <v>1.47</v>
      </c>
      <c r="D70" s="2">
        <v>125</v>
      </c>
      <c r="E70" t="s">
        <v>161</v>
      </c>
      <c r="F70" t="s">
        <v>58</v>
      </c>
      <c r="G70" t="s">
        <v>166</v>
      </c>
      <c r="H70">
        <v>0</v>
      </c>
      <c r="I70" s="13">
        <v>1</v>
      </c>
      <c r="J70" s="2">
        <v>2</v>
      </c>
      <c r="K70">
        <v>3</v>
      </c>
      <c r="L70" s="2">
        <f t="shared" si="8"/>
        <v>1</v>
      </c>
      <c r="M70">
        <v>8</v>
      </c>
      <c r="N70">
        <v>5</v>
      </c>
      <c r="O70">
        <f t="shared" si="9"/>
        <v>-3</v>
      </c>
      <c r="P70">
        <v>2</v>
      </c>
      <c r="Q70">
        <v>2</v>
      </c>
      <c r="R70">
        <f t="shared" si="10"/>
        <v>0</v>
      </c>
      <c r="S70">
        <v>2</v>
      </c>
      <c r="T70">
        <v>2</v>
      </c>
      <c r="U70">
        <f t="shared" si="11"/>
        <v>0</v>
      </c>
      <c r="V70">
        <v>1</v>
      </c>
      <c r="W70">
        <v>1</v>
      </c>
      <c r="X70">
        <f t="shared" si="12"/>
        <v>0</v>
      </c>
      <c r="Y70" s="2">
        <v>0</v>
      </c>
      <c r="Z70" s="2">
        <v>0</v>
      </c>
      <c r="AA70" s="2">
        <v>0</v>
      </c>
      <c r="AB70">
        <f t="shared" si="7"/>
        <v>0</v>
      </c>
      <c r="AC70" s="2">
        <v>0</v>
      </c>
      <c r="AD70" s="2">
        <v>1</v>
      </c>
      <c r="AE70" s="2">
        <v>0</v>
      </c>
      <c r="AF70" s="2">
        <v>1</v>
      </c>
      <c r="AG70" s="2">
        <v>0</v>
      </c>
      <c r="AH70" s="2">
        <v>1</v>
      </c>
      <c r="AI70" s="2">
        <v>1</v>
      </c>
      <c r="AJ70" s="2">
        <v>0</v>
      </c>
      <c r="AK70">
        <f t="shared" si="13"/>
        <v>0</v>
      </c>
      <c r="AL70" t="s">
        <v>8</v>
      </c>
    </row>
    <row r="71" spans="1:38" x14ac:dyDescent="0.35">
      <c r="A71">
        <v>82</v>
      </c>
      <c r="B71" t="s">
        <v>17</v>
      </c>
      <c r="C71">
        <v>-0.04</v>
      </c>
      <c r="D71" s="2">
        <v>15</v>
      </c>
      <c r="E71" t="s">
        <v>159</v>
      </c>
      <c r="F71" t="s">
        <v>58</v>
      </c>
      <c r="G71" t="s">
        <v>165</v>
      </c>
      <c r="H71">
        <v>0</v>
      </c>
      <c r="I71" s="13">
        <v>0.5</v>
      </c>
      <c r="J71" s="2">
        <v>5</v>
      </c>
      <c r="K71">
        <v>5</v>
      </c>
      <c r="L71" s="2">
        <f t="shared" si="8"/>
        <v>0</v>
      </c>
      <c r="M71">
        <v>8</v>
      </c>
      <c r="N71">
        <v>7</v>
      </c>
      <c r="O71">
        <f t="shared" si="9"/>
        <v>-1</v>
      </c>
      <c r="P71">
        <v>2</v>
      </c>
      <c r="Q71">
        <v>2</v>
      </c>
      <c r="R71">
        <f t="shared" si="10"/>
        <v>0</v>
      </c>
      <c r="S71">
        <v>2</v>
      </c>
      <c r="T71">
        <v>3</v>
      </c>
      <c r="U71">
        <f t="shared" si="11"/>
        <v>1</v>
      </c>
      <c r="V71">
        <v>1</v>
      </c>
      <c r="W71">
        <v>1</v>
      </c>
      <c r="X71">
        <f t="shared" si="12"/>
        <v>0</v>
      </c>
      <c r="Y71" s="2">
        <v>0</v>
      </c>
      <c r="Z71" s="2">
        <v>1</v>
      </c>
      <c r="AA71" s="2">
        <v>0</v>
      </c>
      <c r="AB71">
        <f t="shared" si="7"/>
        <v>1</v>
      </c>
      <c r="AC71" s="2">
        <v>0</v>
      </c>
      <c r="AD71" s="2">
        <v>1</v>
      </c>
      <c r="AE71" s="2">
        <v>0</v>
      </c>
      <c r="AF71" s="2">
        <v>1</v>
      </c>
      <c r="AG71" s="2">
        <v>0</v>
      </c>
      <c r="AH71" s="2">
        <v>0</v>
      </c>
      <c r="AI71" s="2">
        <v>1</v>
      </c>
      <c r="AJ71" s="2">
        <v>0</v>
      </c>
      <c r="AK71">
        <f t="shared" si="13"/>
        <v>0</v>
      </c>
      <c r="AL71" t="s">
        <v>135</v>
      </c>
    </row>
    <row r="72" spans="1:38" x14ac:dyDescent="0.35">
      <c r="A72">
        <v>83</v>
      </c>
      <c r="B72" t="s">
        <v>163</v>
      </c>
      <c r="C72">
        <v>0.44</v>
      </c>
      <c r="D72" s="5">
        <v>9</v>
      </c>
      <c r="E72" t="s">
        <v>161</v>
      </c>
      <c r="F72" t="s">
        <v>58</v>
      </c>
      <c r="G72" t="s">
        <v>165</v>
      </c>
      <c r="H72">
        <v>0</v>
      </c>
      <c r="I72" s="13">
        <v>0.25</v>
      </c>
      <c r="J72" s="2">
        <v>2</v>
      </c>
      <c r="K72">
        <v>1</v>
      </c>
      <c r="L72" s="2">
        <f t="shared" si="8"/>
        <v>-1</v>
      </c>
      <c r="M72">
        <v>7</v>
      </c>
      <c r="N72">
        <v>5</v>
      </c>
      <c r="O72">
        <f t="shared" si="9"/>
        <v>-2</v>
      </c>
      <c r="P72">
        <v>1</v>
      </c>
      <c r="Q72">
        <v>1</v>
      </c>
      <c r="R72">
        <f t="shared" si="10"/>
        <v>0</v>
      </c>
      <c r="S72">
        <v>1</v>
      </c>
      <c r="T72">
        <v>2</v>
      </c>
      <c r="U72">
        <f t="shared" si="11"/>
        <v>1</v>
      </c>
      <c r="V72">
        <v>1</v>
      </c>
      <c r="W72">
        <v>1</v>
      </c>
      <c r="X72">
        <f t="shared" si="12"/>
        <v>0</v>
      </c>
      <c r="Y72" s="2">
        <v>0</v>
      </c>
      <c r="Z72" s="2">
        <v>0</v>
      </c>
      <c r="AA72" s="2">
        <v>0</v>
      </c>
      <c r="AB72">
        <f t="shared" si="7"/>
        <v>0</v>
      </c>
      <c r="AC72" s="2">
        <v>0</v>
      </c>
      <c r="AD72" s="2">
        <v>1</v>
      </c>
      <c r="AE72" s="2">
        <v>0</v>
      </c>
      <c r="AF72" s="2">
        <v>1</v>
      </c>
      <c r="AG72" s="2">
        <v>0</v>
      </c>
      <c r="AH72" s="2">
        <v>0</v>
      </c>
      <c r="AI72" s="2">
        <v>0</v>
      </c>
      <c r="AJ72" s="2">
        <v>0</v>
      </c>
      <c r="AK72">
        <f t="shared" si="13"/>
        <v>0</v>
      </c>
      <c r="AL72" s="9" t="s">
        <v>38</v>
      </c>
    </row>
    <row r="73" spans="1:38" x14ac:dyDescent="0.35">
      <c r="A73">
        <v>84</v>
      </c>
      <c r="B73" t="s">
        <v>163</v>
      </c>
      <c r="C73">
        <v>0.44</v>
      </c>
      <c r="D73" s="2">
        <v>12</v>
      </c>
      <c r="E73" t="s">
        <v>60</v>
      </c>
      <c r="F73" t="s">
        <v>55</v>
      </c>
      <c r="G73" t="s">
        <v>165</v>
      </c>
      <c r="H73">
        <v>0</v>
      </c>
      <c r="I73" s="13">
        <v>0</v>
      </c>
      <c r="J73" s="2">
        <v>11</v>
      </c>
      <c r="K73">
        <v>11</v>
      </c>
      <c r="L73" s="2">
        <f t="shared" si="8"/>
        <v>0</v>
      </c>
      <c r="M73">
        <v>5</v>
      </c>
      <c r="N73">
        <v>5</v>
      </c>
      <c r="O73">
        <f t="shared" si="9"/>
        <v>0</v>
      </c>
      <c r="P73">
        <v>2</v>
      </c>
      <c r="Q73">
        <v>2</v>
      </c>
      <c r="R73">
        <f t="shared" si="10"/>
        <v>0</v>
      </c>
      <c r="S73">
        <v>1</v>
      </c>
      <c r="T73">
        <v>1</v>
      </c>
      <c r="U73">
        <f t="shared" si="11"/>
        <v>0</v>
      </c>
      <c r="V73">
        <v>1</v>
      </c>
      <c r="W73">
        <v>1</v>
      </c>
      <c r="X73">
        <f t="shared" si="12"/>
        <v>0</v>
      </c>
      <c r="Y73" s="2">
        <v>0</v>
      </c>
      <c r="Z73" s="2">
        <v>0</v>
      </c>
      <c r="AA73" s="2">
        <v>0</v>
      </c>
      <c r="AB73">
        <f t="shared" si="7"/>
        <v>0</v>
      </c>
      <c r="AC73" s="2">
        <v>0</v>
      </c>
      <c r="AD73" s="2">
        <v>0</v>
      </c>
      <c r="AE73" s="2">
        <v>0</v>
      </c>
      <c r="AF73" s="2">
        <v>0</v>
      </c>
      <c r="AG73" s="2">
        <v>0</v>
      </c>
      <c r="AH73" s="2">
        <v>0</v>
      </c>
      <c r="AI73" s="2">
        <v>0</v>
      </c>
      <c r="AJ73" s="2">
        <v>0</v>
      </c>
      <c r="AK73">
        <f t="shared" si="13"/>
        <v>1</v>
      </c>
      <c r="AL73" t="s">
        <v>139</v>
      </c>
    </row>
    <row r="74" spans="1:38" x14ac:dyDescent="0.35">
      <c r="A74">
        <v>85</v>
      </c>
      <c r="B74" t="s">
        <v>17</v>
      </c>
      <c r="C74">
        <v>-0.04</v>
      </c>
      <c r="D74" s="2">
        <v>40</v>
      </c>
      <c r="E74" t="s">
        <v>61</v>
      </c>
      <c r="F74" t="s">
        <v>52</v>
      </c>
      <c r="G74" t="s">
        <v>165</v>
      </c>
      <c r="H74">
        <v>0</v>
      </c>
      <c r="I74" s="13">
        <v>0</v>
      </c>
      <c r="J74" s="2">
        <v>1</v>
      </c>
      <c r="K74">
        <v>3</v>
      </c>
      <c r="L74" s="2">
        <f t="shared" si="8"/>
        <v>2</v>
      </c>
      <c r="M74">
        <v>9</v>
      </c>
      <c r="N74">
        <v>9</v>
      </c>
      <c r="O74">
        <f t="shared" si="9"/>
        <v>0</v>
      </c>
      <c r="P74">
        <v>3</v>
      </c>
      <c r="Q74">
        <v>3</v>
      </c>
      <c r="R74">
        <f t="shared" si="10"/>
        <v>0</v>
      </c>
      <c r="S74">
        <v>1</v>
      </c>
      <c r="T74">
        <v>1</v>
      </c>
      <c r="U74">
        <f t="shared" si="11"/>
        <v>0</v>
      </c>
      <c r="V74">
        <v>0</v>
      </c>
      <c r="W74">
        <v>0</v>
      </c>
      <c r="X74">
        <f t="shared" si="12"/>
        <v>0</v>
      </c>
      <c r="Y74" s="2">
        <v>0</v>
      </c>
      <c r="Z74" s="2">
        <v>0</v>
      </c>
      <c r="AA74" s="2">
        <v>0</v>
      </c>
      <c r="AB74">
        <f t="shared" si="7"/>
        <v>0</v>
      </c>
      <c r="AC74" s="2">
        <v>0</v>
      </c>
      <c r="AD74" s="2">
        <v>1</v>
      </c>
      <c r="AE74" s="2">
        <v>0</v>
      </c>
      <c r="AF74" s="2">
        <v>0</v>
      </c>
      <c r="AG74" s="2">
        <v>0</v>
      </c>
      <c r="AH74" s="2">
        <v>1</v>
      </c>
      <c r="AI74" s="2">
        <v>1</v>
      </c>
      <c r="AJ74" s="2">
        <v>0</v>
      </c>
      <c r="AK74">
        <f t="shared" si="13"/>
        <v>0</v>
      </c>
      <c r="AL74" t="s">
        <v>5</v>
      </c>
    </row>
    <row r="75" spans="1:38" x14ac:dyDescent="0.35">
      <c r="A75">
        <v>86</v>
      </c>
      <c r="B75" t="s">
        <v>164</v>
      </c>
      <c r="C75">
        <v>1.47</v>
      </c>
      <c r="D75" s="2">
        <v>30</v>
      </c>
      <c r="E75" t="s">
        <v>161</v>
      </c>
      <c r="F75" t="s">
        <v>52</v>
      </c>
      <c r="G75" t="s">
        <v>165</v>
      </c>
      <c r="H75">
        <v>0</v>
      </c>
      <c r="I75" s="13">
        <v>0</v>
      </c>
      <c r="J75" s="2">
        <v>4</v>
      </c>
      <c r="K75">
        <v>4</v>
      </c>
      <c r="L75" s="2">
        <f t="shared" si="8"/>
        <v>0</v>
      </c>
      <c r="M75">
        <v>6</v>
      </c>
      <c r="N75">
        <v>6</v>
      </c>
      <c r="O75">
        <f t="shared" si="9"/>
        <v>0</v>
      </c>
      <c r="P75">
        <v>2</v>
      </c>
      <c r="Q75">
        <v>2</v>
      </c>
      <c r="R75">
        <f t="shared" si="10"/>
        <v>0</v>
      </c>
      <c r="S75">
        <v>3</v>
      </c>
      <c r="T75">
        <v>3</v>
      </c>
      <c r="U75">
        <f t="shared" si="11"/>
        <v>0</v>
      </c>
      <c r="V75">
        <v>1</v>
      </c>
      <c r="W75">
        <v>1</v>
      </c>
      <c r="X75">
        <f t="shared" si="12"/>
        <v>0</v>
      </c>
      <c r="Y75" s="2">
        <v>0</v>
      </c>
      <c r="Z75" s="2">
        <v>0</v>
      </c>
      <c r="AA75" s="2">
        <v>0</v>
      </c>
      <c r="AB75">
        <f t="shared" si="7"/>
        <v>0</v>
      </c>
      <c r="AC75" s="2">
        <v>0</v>
      </c>
      <c r="AD75" s="2">
        <v>0</v>
      </c>
      <c r="AE75" s="2">
        <v>0</v>
      </c>
      <c r="AF75" s="2">
        <v>0</v>
      </c>
      <c r="AG75" s="2">
        <v>0</v>
      </c>
      <c r="AH75" s="2">
        <v>0</v>
      </c>
      <c r="AI75" s="2">
        <v>0</v>
      </c>
      <c r="AJ75" s="2">
        <v>0</v>
      </c>
      <c r="AK75">
        <f t="shared" si="13"/>
        <v>1</v>
      </c>
      <c r="AL75" t="s">
        <v>139</v>
      </c>
    </row>
    <row r="76" spans="1:38" x14ac:dyDescent="0.35">
      <c r="A76">
        <v>87</v>
      </c>
      <c r="B76" t="s">
        <v>17</v>
      </c>
      <c r="C76">
        <v>-0.04</v>
      </c>
      <c r="D76" s="2">
        <v>87</v>
      </c>
      <c r="E76" t="s">
        <v>140</v>
      </c>
      <c r="F76" t="s">
        <v>58</v>
      </c>
      <c r="G76" t="s">
        <v>165</v>
      </c>
      <c r="H76">
        <v>0</v>
      </c>
      <c r="I76" s="13">
        <v>0.25</v>
      </c>
      <c r="J76" s="2">
        <v>3</v>
      </c>
      <c r="K76">
        <v>3</v>
      </c>
      <c r="L76" s="2">
        <f t="shared" si="8"/>
        <v>0</v>
      </c>
      <c r="M76">
        <v>7</v>
      </c>
      <c r="N76">
        <v>5</v>
      </c>
      <c r="O76">
        <f t="shared" si="9"/>
        <v>-2</v>
      </c>
      <c r="P76">
        <v>2</v>
      </c>
      <c r="Q76">
        <v>2</v>
      </c>
      <c r="R76">
        <f t="shared" si="10"/>
        <v>0</v>
      </c>
      <c r="S76">
        <v>1</v>
      </c>
      <c r="T76">
        <v>1</v>
      </c>
      <c r="U76">
        <f t="shared" si="11"/>
        <v>0</v>
      </c>
      <c r="V76">
        <v>0</v>
      </c>
      <c r="W76">
        <v>0</v>
      </c>
      <c r="X76">
        <f t="shared" si="12"/>
        <v>0</v>
      </c>
      <c r="Y76" s="2">
        <v>0</v>
      </c>
      <c r="Z76" s="2">
        <v>0</v>
      </c>
      <c r="AA76" s="2">
        <v>1</v>
      </c>
      <c r="AB76">
        <f t="shared" si="7"/>
        <v>1</v>
      </c>
      <c r="AC76" s="2">
        <v>0</v>
      </c>
      <c r="AD76" s="2">
        <v>1</v>
      </c>
      <c r="AE76" s="2">
        <v>0</v>
      </c>
      <c r="AF76" s="2">
        <v>1</v>
      </c>
      <c r="AG76" s="2">
        <v>0</v>
      </c>
      <c r="AH76" s="2">
        <v>0</v>
      </c>
      <c r="AI76" s="2">
        <v>0</v>
      </c>
      <c r="AJ76" s="2">
        <v>1</v>
      </c>
      <c r="AK76">
        <f t="shared" si="13"/>
        <v>0</v>
      </c>
      <c r="AL76" t="s">
        <v>5</v>
      </c>
    </row>
    <row r="77" spans="1:38" x14ac:dyDescent="0.35">
      <c r="A77">
        <v>88</v>
      </c>
      <c r="B77" t="s">
        <v>15</v>
      </c>
      <c r="C77">
        <v>1.61</v>
      </c>
      <c r="D77" s="2">
        <v>147</v>
      </c>
      <c r="E77" t="s">
        <v>51</v>
      </c>
      <c r="F77" t="s">
        <v>52</v>
      </c>
      <c r="G77" t="s">
        <v>166</v>
      </c>
      <c r="H77">
        <v>0</v>
      </c>
      <c r="I77" s="13">
        <v>0</v>
      </c>
      <c r="J77" s="2">
        <v>4</v>
      </c>
      <c r="K77">
        <v>4</v>
      </c>
      <c r="L77" s="2">
        <f t="shared" si="8"/>
        <v>0</v>
      </c>
      <c r="M77">
        <v>8</v>
      </c>
      <c r="N77">
        <v>8</v>
      </c>
      <c r="O77">
        <f t="shared" si="9"/>
        <v>0</v>
      </c>
      <c r="P77">
        <v>2</v>
      </c>
      <c r="Q77">
        <v>2</v>
      </c>
      <c r="R77">
        <f t="shared" si="10"/>
        <v>0</v>
      </c>
      <c r="S77">
        <v>1</v>
      </c>
      <c r="T77">
        <v>1</v>
      </c>
      <c r="U77">
        <f t="shared" si="11"/>
        <v>0</v>
      </c>
      <c r="V77">
        <v>1</v>
      </c>
      <c r="W77">
        <v>0</v>
      </c>
      <c r="X77">
        <f t="shared" si="12"/>
        <v>-1</v>
      </c>
      <c r="Y77" s="2">
        <v>0</v>
      </c>
      <c r="Z77" s="2">
        <v>0</v>
      </c>
      <c r="AA77" s="2">
        <v>0</v>
      </c>
      <c r="AB77">
        <f t="shared" si="7"/>
        <v>0</v>
      </c>
      <c r="AC77" s="2">
        <v>0</v>
      </c>
      <c r="AD77" s="2">
        <v>0</v>
      </c>
      <c r="AE77" s="2">
        <v>0</v>
      </c>
      <c r="AF77" s="2">
        <v>0</v>
      </c>
      <c r="AG77" s="2">
        <v>0</v>
      </c>
      <c r="AH77" s="2">
        <v>0</v>
      </c>
      <c r="AI77" s="2">
        <v>0</v>
      </c>
      <c r="AJ77" s="2">
        <v>0</v>
      </c>
      <c r="AK77">
        <f t="shared" si="13"/>
        <v>1</v>
      </c>
      <c r="AL77" t="s">
        <v>139</v>
      </c>
    </row>
    <row r="78" spans="1:38" x14ac:dyDescent="0.35">
      <c r="A78">
        <v>89</v>
      </c>
      <c r="B78" t="s">
        <v>17</v>
      </c>
      <c r="C78">
        <v>-0.04</v>
      </c>
      <c r="D78" s="2">
        <v>60</v>
      </c>
      <c r="E78" t="s">
        <v>61</v>
      </c>
      <c r="F78" t="s">
        <v>54</v>
      </c>
      <c r="G78" t="s">
        <v>165</v>
      </c>
      <c r="H78">
        <v>0</v>
      </c>
      <c r="I78" s="13">
        <v>0.5</v>
      </c>
      <c r="J78" s="2">
        <v>4</v>
      </c>
      <c r="K78">
        <v>2</v>
      </c>
      <c r="L78" s="2">
        <f t="shared" si="8"/>
        <v>-2</v>
      </c>
      <c r="M78">
        <v>5</v>
      </c>
      <c r="N78">
        <v>5</v>
      </c>
      <c r="O78">
        <f t="shared" si="9"/>
        <v>0</v>
      </c>
      <c r="P78">
        <v>2</v>
      </c>
      <c r="Q78">
        <v>2</v>
      </c>
      <c r="R78">
        <f t="shared" si="10"/>
        <v>0</v>
      </c>
      <c r="S78">
        <v>2</v>
      </c>
      <c r="T78">
        <v>3</v>
      </c>
      <c r="U78">
        <f t="shared" si="11"/>
        <v>1</v>
      </c>
      <c r="V78">
        <v>2</v>
      </c>
      <c r="W78">
        <v>2</v>
      </c>
      <c r="X78">
        <f t="shared" si="12"/>
        <v>0</v>
      </c>
      <c r="Y78" s="2">
        <v>0</v>
      </c>
      <c r="Z78" s="2">
        <v>1</v>
      </c>
      <c r="AA78" s="2">
        <v>0</v>
      </c>
      <c r="AB78">
        <f t="shared" si="7"/>
        <v>1</v>
      </c>
      <c r="AC78" s="2">
        <v>0</v>
      </c>
      <c r="AD78" s="2">
        <v>1</v>
      </c>
      <c r="AE78" s="2">
        <v>0</v>
      </c>
      <c r="AF78" s="2">
        <v>1</v>
      </c>
      <c r="AG78" s="2">
        <v>1</v>
      </c>
      <c r="AH78" s="2">
        <v>1</v>
      </c>
      <c r="AI78" s="2">
        <v>1</v>
      </c>
      <c r="AJ78" s="2">
        <v>0</v>
      </c>
      <c r="AK78">
        <f t="shared" si="13"/>
        <v>0</v>
      </c>
      <c r="AL78" t="s">
        <v>5</v>
      </c>
    </row>
    <row r="79" spans="1:38" x14ac:dyDescent="0.35">
      <c r="A79">
        <v>90</v>
      </c>
      <c r="B79" t="s">
        <v>17</v>
      </c>
      <c r="C79">
        <v>-0.04</v>
      </c>
      <c r="D79" s="2">
        <v>89</v>
      </c>
      <c r="E79" t="s">
        <v>159</v>
      </c>
      <c r="F79" t="s">
        <v>52</v>
      </c>
      <c r="G79" t="s">
        <v>165</v>
      </c>
      <c r="H79">
        <v>0</v>
      </c>
      <c r="I79" s="13">
        <v>0.25</v>
      </c>
      <c r="J79" s="2">
        <v>3</v>
      </c>
      <c r="K79">
        <v>3</v>
      </c>
      <c r="L79" s="2">
        <f t="shared" si="8"/>
        <v>0</v>
      </c>
      <c r="M79">
        <v>4</v>
      </c>
      <c r="N79">
        <v>4</v>
      </c>
      <c r="O79">
        <f t="shared" si="9"/>
        <v>0</v>
      </c>
      <c r="P79">
        <v>2</v>
      </c>
      <c r="Q79">
        <v>2</v>
      </c>
      <c r="R79">
        <f t="shared" si="10"/>
        <v>0</v>
      </c>
      <c r="S79">
        <v>1</v>
      </c>
      <c r="T79">
        <v>1</v>
      </c>
      <c r="U79">
        <f t="shared" si="11"/>
        <v>0</v>
      </c>
      <c r="V79">
        <v>0</v>
      </c>
      <c r="W79">
        <v>0</v>
      </c>
      <c r="X79">
        <f t="shared" si="12"/>
        <v>0</v>
      </c>
      <c r="Y79" s="2">
        <v>0</v>
      </c>
      <c r="Z79" s="2">
        <v>0</v>
      </c>
      <c r="AA79" s="2">
        <v>1</v>
      </c>
      <c r="AB79">
        <f t="shared" si="7"/>
        <v>1</v>
      </c>
      <c r="AC79" s="2">
        <v>0</v>
      </c>
      <c r="AD79" s="2">
        <v>1</v>
      </c>
      <c r="AE79" s="2">
        <v>0</v>
      </c>
      <c r="AF79" s="2">
        <v>0</v>
      </c>
      <c r="AG79" s="2">
        <v>0</v>
      </c>
      <c r="AH79" s="2">
        <v>0</v>
      </c>
      <c r="AI79" s="2">
        <v>0</v>
      </c>
      <c r="AJ79" s="2">
        <v>0</v>
      </c>
      <c r="AK79">
        <f t="shared" si="13"/>
        <v>0</v>
      </c>
      <c r="AL79" t="s">
        <v>136</v>
      </c>
    </row>
    <row r="80" spans="1:38" x14ac:dyDescent="0.35">
      <c r="A80">
        <v>91</v>
      </c>
      <c r="B80" t="s">
        <v>17</v>
      </c>
      <c r="C80">
        <v>-0.04</v>
      </c>
      <c r="D80" s="2">
        <v>7</v>
      </c>
      <c r="E80" t="s">
        <v>61</v>
      </c>
      <c r="F80" t="s">
        <v>54</v>
      </c>
      <c r="G80" t="s">
        <v>165</v>
      </c>
      <c r="H80">
        <v>0</v>
      </c>
      <c r="I80" s="13">
        <v>0.25</v>
      </c>
      <c r="J80" s="2">
        <v>5</v>
      </c>
      <c r="K80">
        <v>5</v>
      </c>
      <c r="L80" s="2">
        <f t="shared" si="8"/>
        <v>0</v>
      </c>
      <c r="M80">
        <v>8</v>
      </c>
      <c r="N80">
        <v>8</v>
      </c>
      <c r="O80">
        <f t="shared" si="9"/>
        <v>0</v>
      </c>
      <c r="P80">
        <v>1</v>
      </c>
      <c r="Q80">
        <v>1</v>
      </c>
      <c r="R80">
        <f t="shared" si="10"/>
        <v>0</v>
      </c>
      <c r="S80">
        <v>1</v>
      </c>
      <c r="T80">
        <v>1</v>
      </c>
      <c r="U80">
        <f t="shared" si="11"/>
        <v>0</v>
      </c>
      <c r="V80">
        <v>1</v>
      </c>
      <c r="W80">
        <v>1</v>
      </c>
      <c r="X80">
        <f t="shared" si="12"/>
        <v>0</v>
      </c>
      <c r="Y80" s="2">
        <v>0</v>
      </c>
      <c r="Z80" s="2">
        <v>0</v>
      </c>
      <c r="AA80" s="2">
        <v>0</v>
      </c>
      <c r="AB80">
        <f t="shared" si="7"/>
        <v>0</v>
      </c>
      <c r="AC80" s="2">
        <v>0</v>
      </c>
      <c r="AD80" s="2">
        <v>1</v>
      </c>
      <c r="AE80" s="2">
        <v>0</v>
      </c>
      <c r="AF80" s="2">
        <v>0</v>
      </c>
      <c r="AG80" s="2">
        <v>0</v>
      </c>
      <c r="AH80" s="2">
        <v>1</v>
      </c>
      <c r="AI80" s="2">
        <v>0</v>
      </c>
      <c r="AJ80" s="2">
        <v>0</v>
      </c>
      <c r="AK80">
        <f t="shared" si="13"/>
        <v>0</v>
      </c>
      <c r="AL80" t="s">
        <v>46</v>
      </c>
    </row>
    <row r="81" spans="1:38" x14ac:dyDescent="0.35">
      <c r="A81">
        <v>93</v>
      </c>
      <c r="B81" t="s">
        <v>15</v>
      </c>
      <c r="C81">
        <v>1.61</v>
      </c>
      <c r="D81" s="2">
        <v>7</v>
      </c>
      <c r="E81" t="s">
        <v>51</v>
      </c>
      <c r="F81" t="s">
        <v>58</v>
      </c>
      <c r="G81" t="s">
        <v>165</v>
      </c>
      <c r="H81">
        <v>0</v>
      </c>
      <c r="I81" s="13">
        <v>1</v>
      </c>
      <c r="J81" s="2">
        <v>16</v>
      </c>
      <c r="K81">
        <v>16</v>
      </c>
      <c r="L81" s="2">
        <f t="shared" si="8"/>
        <v>0</v>
      </c>
      <c r="M81">
        <v>9</v>
      </c>
      <c r="N81">
        <v>6</v>
      </c>
      <c r="O81">
        <f t="shared" si="9"/>
        <v>-3</v>
      </c>
      <c r="P81">
        <v>2</v>
      </c>
      <c r="Q81">
        <v>2</v>
      </c>
      <c r="R81">
        <f t="shared" si="10"/>
        <v>0</v>
      </c>
      <c r="S81">
        <v>5</v>
      </c>
      <c r="T81">
        <v>1</v>
      </c>
      <c r="U81">
        <f t="shared" si="11"/>
        <v>-4</v>
      </c>
      <c r="V81">
        <v>1</v>
      </c>
      <c r="W81">
        <v>1</v>
      </c>
      <c r="X81">
        <f t="shared" si="12"/>
        <v>0</v>
      </c>
      <c r="Y81" s="2">
        <v>0</v>
      </c>
      <c r="Z81" s="2">
        <v>0</v>
      </c>
      <c r="AA81" s="2">
        <v>0</v>
      </c>
      <c r="AB81">
        <f t="shared" si="7"/>
        <v>0</v>
      </c>
      <c r="AC81" s="2">
        <v>0</v>
      </c>
      <c r="AD81" s="2">
        <v>1</v>
      </c>
      <c r="AE81" s="2">
        <v>0</v>
      </c>
      <c r="AF81" s="2">
        <v>0</v>
      </c>
      <c r="AG81" s="2">
        <v>0</v>
      </c>
      <c r="AH81" s="2">
        <v>0</v>
      </c>
      <c r="AI81" s="2">
        <v>0</v>
      </c>
      <c r="AJ81" s="2">
        <v>0</v>
      </c>
      <c r="AK81">
        <f t="shared" si="13"/>
        <v>0</v>
      </c>
      <c r="AL81" t="s">
        <v>5</v>
      </c>
    </row>
    <row r="82" spans="1:38" x14ac:dyDescent="0.35">
      <c r="A82">
        <v>94</v>
      </c>
      <c r="B82" t="s">
        <v>163</v>
      </c>
      <c r="C82">
        <v>0.44</v>
      </c>
      <c r="D82" s="2">
        <v>15</v>
      </c>
      <c r="E82" t="s">
        <v>60</v>
      </c>
      <c r="F82" t="s">
        <v>55</v>
      </c>
      <c r="G82" t="s">
        <v>166</v>
      </c>
      <c r="H82">
        <v>0</v>
      </c>
      <c r="I82" s="13">
        <v>0</v>
      </c>
      <c r="J82" s="2">
        <v>4</v>
      </c>
      <c r="K82">
        <v>4</v>
      </c>
      <c r="L82" s="2">
        <f t="shared" si="8"/>
        <v>0</v>
      </c>
      <c r="M82">
        <v>1</v>
      </c>
      <c r="N82">
        <v>1</v>
      </c>
      <c r="O82">
        <f t="shared" si="9"/>
        <v>0</v>
      </c>
      <c r="P82">
        <v>2</v>
      </c>
      <c r="Q82">
        <v>2</v>
      </c>
      <c r="R82">
        <f t="shared" si="10"/>
        <v>0</v>
      </c>
      <c r="S82">
        <v>5</v>
      </c>
      <c r="T82">
        <v>5</v>
      </c>
      <c r="U82">
        <f t="shared" si="11"/>
        <v>0</v>
      </c>
      <c r="V82">
        <v>0</v>
      </c>
      <c r="W82">
        <v>1</v>
      </c>
      <c r="X82">
        <f t="shared" si="12"/>
        <v>1</v>
      </c>
      <c r="Y82" s="2">
        <v>0</v>
      </c>
      <c r="Z82" s="2">
        <v>0</v>
      </c>
      <c r="AA82" s="2">
        <v>0</v>
      </c>
      <c r="AB82">
        <f t="shared" si="7"/>
        <v>0</v>
      </c>
      <c r="AC82" s="2">
        <v>1</v>
      </c>
      <c r="AD82" s="2">
        <v>1</v>
      </c>
      <c r="AE82" s="2">
        <v>0</v>
      </c>
      <c r="AF82" s="2">
        <v>0</v>
      </c>
      <c r="AG82" s="2">
        <v>0</v>
      </c>
      <c r="AH82" s="2">
        <v>1</v>
      </c>
      <c r="AI82" s="2">
        <v>1</v>
      </c>
      <c r="AJ82" s="2">
        <v>0</v>
      </c>
      <c r="AK82">
        <f t="shared" si="13"/>
        <v>0</v>
      </c>
      <c r="AL82" t="s">
        <v>5</v>
      </c>
    </row>
    <row r="83" spans="1:38" x14ac:dyDescent="0.35">
      <c r="A83">
        <v>95</v>
      </c>
      <c r="B83" t="s">
        <v>17</v>
      </c>
      <c r="C83">
        <v>-0.04</v>
      </c>
      <c r="D83" s="2">
        <v>94</v>
      </c>
      <c r="E83" t="s">
        <v>159</v>
      </c>
      <c r="F83" t="s">
        <v>55</v>
      </c>
      <c r="G83" t="s">
        <v>165</v>
      </c>
      <c r="H83">
        <v>0</v>
      </c>
      <c r="I83" s="13">
        <v>0</v>
      </c>
      <c r="J83" s="2">
        <v>6</v>
      </c>
      <c r="K83">
        <v>6</v>
      </c>
      <c r="L83" s="2">
        <f t="shared" si="8"/>
        <v>0</v>
      </c>
      <c r="M83">
        <v>9</v>
      </c>
      <c r="N83">
        <v>9</v>
      </c>
      <c r="O83">
        <f t="shared" si="9"/>
        <v>0</v>
      </c>
      <c r="P83">
        <v>2</v>
      </c>
      <c r="Q83">
        <v>2</v>
      </c>
      <c r="R83">
        <f t="shared" si="10"/>
        <v>0</v>
      </c>
      <c r="S83">
        <v>3</v>
      </c>
      <c r="T83">
        <v>1</v>
      </c>
      <c r="U83">
        <f t="shared" si="11"/>
        <v>-2</v>
      </c>
      <c r="V83">
        <v>0</v>
      </c>
      <c r="W83">
        <v>1</v>
      </c>
      <c r="X83">
        <f t="shared" si="12"/>
        <v>1</v>
      </c>
      <c r="Y83" s="2">
        <v>0</v>
      </c>
      <c r="Z83" s="2">
        <v>0</v>
      </c>
      <c r="AA83" s="2">
        <v>0</v>
      </c>
      <c r="AB83">
        <f t="shared" si="7"/>
        <v>0</v>
      </c>
      <c r="AC83" s="2">
        <v>0</v>
      </c>
      <c r="AD83" s="2">
        <v>1</v>
      </c>
      <c r="AE83" s="2">
        <v>0</v>
      </c>
      <c r="AF83" s="2">
        <v>1</v>
      </c>
      <c r="AG83" s="2">
        <v>0</v>
      </c>
      <c r="AH83" s="2">
        <v>0</v>
      </c>
      <c r="AI83" s="2">
        <v>1</v>
      </c>
      <c r="AJ83" s="2">
        <v>0</v>
      </c>
      <c r="AK83">
        <f t="shared" si="13"/>
        <v>0</v>
      </c>
      <c r="AL83" t="s">
        <v>8</v>
      </c>
    </row>
    <row r="84" spans="1:38" x14ac:dyDescent="0.35">
      <c r="A84">
        <v>96</v>
      </c>
      <c r="B84" t="s">
        <v>17</v>
      </c>
      <c r="C84">
        <v>-0.04</v>
      </c>
      <c r="D84" s="2">
        <v>135</v>
      </c>
      <c r="E84" t="s">
        <v>159</v>
      </c>
      <c r="F84" t="s">
        <v>54</v>
      </c>
      <c r="G84" t="s">
        <v>165</v>
      </c>
      <c r="H84">
        <v>0</v>
      </c>
      <c r="I84" s="13">
        <v>0.25</v>
      </c>
      <c r="J84" s="2">
        <v>3</v>
      </c>
      <c r="K84">
        <v>3</v>
      </c>
      <c r="L84" s="2">
        <f t="shared" si="8"/>
        <v>0</v>
      </c>
      <c r="M84">
        <v>9</v>
      </c>
      <c r="N84">
        <v>9</v>
      </c>
      <c r="O84">
        <f t="shared" si="9"/>
        <v>0</v>
      </c>
      <c r="P84">
        <v>3</v>
      </c>
      <c r="Q84">
        <v>3</v>
      </c>
      <c r="R84">
        <f t="shared" si="10"/>
        <v>0</v>
      </c>
      <c r="S84">
        <v>2</v>
      </c>
      <c r="T84">
        <v>1</v>
      </c>
      <c r="U84">
        <f t="shared" si="11"/>
        <v>-1</v>
      </c>
      <c r="V84">
        <v>1</v>
      </c>
      <c r="W84">
        <v>0</v>
      </c>
      <c r="X84">
        <f t="shared" si="12"/>
        <v>-1</v>
      </c>
      <c r="Y84" s="2">
        <v>0</v>
      </c>
      <c r="Z84" s="2">
        <v>1</v>
      </c>
      <c r="AA84" s="2">
        <v>1</v>
      </c>
      <c r="AB84">
        <f t="shared" si="7"/>
        <v>1</v>
      </c>
      <c r="AC84" s="2">
        <v>0</v>
      </c>
      <c r="AD84" s="2">
        <v>1</v>
      </c>
      <c r="AE84" s="2">
        <v>0</v>
      </c>
      <c r="AF84" s="2">
        <v>1</v>
      </c>
      <c r="AG84" s="2">
        <v>0</v>
      </c>
      <c r="AH84" s="2">
        <v>1</v>
      </c>
      <c r="AI84" s="2">
        <v>0</v>
      </c>
      <c r="AJ84" s="2">
        <v>0</v>
      </c>
      <c r="AK84">
        <f t="shared" si="13"/>
        <v>0</v>
      </c>
      <c r="AL84" t="s">
        <v>135</v>
      </c>
    </row>
    <row r="85" spans="1:38" x14ac:dyDescent="0.35">
      <c r="A85">
        <v>97</v>
      </c>
      <c r="B85" t="s">
        <v>13</v>
      </c>
      <c r="C85">
        <v>1.42</v>
      </c>
      <c r="D85" s="2">
        <v>4</v>
      </c>
      <c r="E85" t="s">
        <v>159</v>
      </c>
      <c r="F85" t="s">
        <v>54</v>
      </c>
      <c r="G85" t="s">
        <v>165</v>
      </c>
      <c r="H85">
        <v>0</v>
      </c>
      <c r="I85" s="13">
        <v>1</v>
      </c>
      <c r="J85" s="2">
        <v>6</v>
      </c>
      <c r="K85">
        <v>6</v>
      </c>
      <c r="L85" s="2">
        <f t="shared" si="8"/>
        <v>0</v>
      </c>
      <c r="M85">
        <v>8</v>
      </c>
      <c r="N85">
        <v>4</v>
      </c>
      <c r="O85">
        <f t="shared" si="9"/>
        <v>-4</v>
      </c>
      <c r="P85">
        <v>1</v>
      </c>
      <c r="Q85">
        <v>2</v>
      </c>
      <c r="R85">
        <f t="shared" si="10"/>
        <v>1</v>
      </c>
      <c r="S85">
        <v>1</v>
      </c>
      <c r="T85">
        <v>1</v>
      </c>
      <c r="U85">
        <f t="shared" si="11"/>
        <v>0</v>
      </c>
      <c r="V85">
        <v>0</v>
      </c>
      <c r="W85">
        <v>1</v>
      </c>
      <c r="X85">
        <f t="shared" si="12"/>
        <v>1</v>
      </c>
      <c r="Y85" s="2">
        <v>0</v>
      </c>
      <c r="Z85" s="2">
        <v>1</v>
      </c>
      <c r="AA85" s="2">
        <v>1</v>
      </c>
      <c r="AB85">
        <f t="shared" si="7"/>
        <v>1</v>
      </c>
      <c r="AC85" s="2">
        <v>0</v>
      </c>
      <c r="AD85" s="2">
        <v>1</v>
      </c>
      <c r="AE85" s="2">
        <v>0</v>
      </c>
      <c r="AF85" s="2">
        <v>1</v>
      </c>
      <c r="AG85" s="2">
        <v>0</v>
      </c>
      <c r="AH85" s="2">
        <v>0</v>
      </c>
      <c r="AI85" s="2">
        <v>0</v>
      </c>
      <c r="AJ85" s="2">
        <v>0</v>
      </c>
      <c r="AK85">
        <f t="shared" si="13"/>
        <v>0</v>
      </c>
      <c r="AL85" t="s">
        <v>135</v>
      </c>
    </row>
    <row r="86" spans="1:38" x14ac:dyDescent="0.35">
      <c r="A86">
        <v>99</v>
      </c>
      <c r="B86" t="s">
        <v>17</v>
      </c>
      <c r="C86">
        <v>-0.04</v>
      </c>
      <c r="D86" s="5">
        <v>99</v>
      </c>
      <c r="E86" t="s">
        <v>60</v>
      </c>
      <c r="F86" t="s">
        <v>54</v>
      </c>
      <c r="G86" t="s">
        <v>166</v>
      </c>
      <c r="H86">
        <v>0</v>
      </c>
      <c r="I86" s="13">
        <v>1</v>
      </c>
      <c r="J86" s="2">
        <v>1</v>
      </c>
      <c r="K86">
        <v>1</v>
      </c>
      <c r="L86" s="2">
        <f t="shared" si="8"/>
        <v>0</v>
      </c>
      <c r="M86">
        <v>6</v>
      </c>
      <c r="N86">
        <v>6</v>
      </c>
      <c r="O86">
        <f t="shared" si="9"/>
        <v>0</v>
      </c>
      <c r="P86">
        <v>2</v>
      </c>
      <c r="Q86">
        <v>2</v>
      </c>
      <c r="R86">
        <f t="shared" si="10"/>
        <v>0</v>
      </c>
      <c r="S86">
        <v>2</v>
      </c>
      <c r="T86">
        <v>1</v>
      </c>
      <c r="U86">
        <f t="shared" si="11"/>
        <v>-1</v>
      </c>
      <c r="V86">
        <v>0</v>
      </c>
      <c r="W86">
        <v>0</v>
      </c>
      <c r="X86">
        <f t="shared" si="12"/>
        <v>0</v>
      </c>
      <c r="Y86" s="2">
        <v>0</v>
      </c>
      <c r="Z86" s="2">
        <v>0</v>
      </c>
      <c r="AA86" s="2">
        <v>0</v>
      </c>
      <c r="AB86">
        <f t="shared" si="7"/>
        <v>0</v>
      </c>
      <c r="AC86" s="2">
        <v>0</v>
      </c>
      <c r="AD86" s="2">
        <v>0</v>
      </c>
      <c r="AE86" s="2">
        <v>0</v>
      </c>
      <c r="AF86" s="2">
        <v>1</v>
      </c>
      <c r="AG86" s="2">
        <v>0</v>
      </c>
      <c r="AH86" s="2">
        <v>0</v>
      </c>
      <c r="AI86" s="2">
        <v>0</v>
      </c>
      <c r="AJ86" s="2">
        <v>0</v>
      </c>
      <c r="AK86">
        <f t="shared" si="13"/>
        <v>0</v>
      </c>
      <c r="AL86" s="9" t="s">
        <v>139</v>
      </c>
    </row>
    <row r="87" spans="1:38" x14ac:dyDescent="0.35">
      <c r="A87">
        <v>100</v>
      </c>
      <c r="B87" t="s">
        <v>17</v>
      </c>
      <c r="C87">
        <v>-0.04</v>
      </c>
      <c r="D87" s="2">
        <v>102</v>
      </c>
      <c r="E87" t="s">
        <v>61</v>
      </c>
      <c r="F87" t="s">
        <v>58</v>
      </c>
      <c r="G87" t="s">
        <v>165</v>
      </c>
      <c r="H87">
        <v>0</v>
      </c>
      <c r="I87" s="13">
        <v>0.5</v>
      </c>
      <c r="J87" s="2">
        <v>2</v>
      </c>
      <c r="K87">
        <v>2</v>
      </c>
      <c r="L87" s="2">
        <f t="shared" si="8"/>
        <v>0</v>
      </c>
      <c r="M87">
        <v>5</v>
      </c>
      <c r="N87">
        <v>5</v>
      </c>
      <c r="O87">
        <f t="shared" si="9"/>
        <v>0</v>
      </c>
      <c r="P87">
        <v>3</v>
      </c>
      <c r="Q87">
        <v>3</v>
      </c>
      <c r="R87">
        <f t="shared" si="10"/>
        <v>0</v>
      </c>
      <c r="S87">
        <v>1</v>
      </c>
      <c r="T87">
        <v>3</v>
      </c>
      <c r="U87">
        <f t="shared" si="11"/>
        <v>2</v>
      </c>
      <c r="V87">
        <v>2</v>
      </c>
      <c r="W87">
        <v>2</v>
      </c>
      <c r="X87">
        <f t="shared" si="12"/>
        <v>0</v>
      </c>
      <c r="Y87" s="2">
        <v>0</v>
      </c>
      <c r="Z87" s="2">
        <v>0</v>
      </c>
      <c r="AA87" s="2">
        <v>0</v>
      </c>
      <c r="AB87">
        <f t="shared" si="7"/>
        <v>0</v>
      </c>
      <c r="AC87" s="2">
        <v>0</v>
      </c>
      <c r="AD87" s="2">
        <v>1</v>
      </c>
      <c r="AE87" s="2">
        <v>0</v>
      </c>
      <c r="AF87" s="2">
        <v>1</v>
      </c>
      <c r="AG87" s="2">
        <v>0</v>
      </c>
      <c r="AH87" s="2">
        <v>1</v>
      </c>
      <c r="AI87" s="2">
        <v>1</v>
      </c>
      <c r="AJ87" s="2">
        <v>0</v>
      </c>
      <c r="AK87">
        <f t="shared" si="13"/>
        <v>0</v>
      </c>
      <c r="AL87" t="s">
        <v>46</v>
      </c>
    </row>
    <row r="88" spans="1:38" x14ac:dyDescent="0.35">
      <c r="A88">
        <v>101</v>
      </c>
      <c r="B88" t="s">
        <v>17</v>
      </c>
      <c r="C88">
        <v>-0.04</v>
      </c>
      <c r="D88" s="2">
        <v>57</v>
      </c>
      <c r="E88" t="s">
        <v>159</v>
      </c>
      <c r="F88" t="s">
        <v>54</v>
      </c>
      <c r="G88" t="s">
        <v>165</v>
      </c>
      <c r="H88">
        <v>0</v>
      </c>
      <c r="I88" s="13">
        <v>0</v>
      </c>
      <c r="J88" s="2">
        <v>2</v>
      </c>
      <c r="K88">
        <v>3</v>
      </c>
      <c r="L88" s="2">
        <f t="shared" si="8"/>
        <v>1</v>
      </c>
      <c r="M88">
        <v>7</v>
      </c>
      <c r="N88">
        <v>7</v>
      </c>
      <c r="O88">
        <f t="shared" si="9"/>
        <v>0</v>
      </c>
      <c r="P88">
        <v>1</v>
      </c>
      <c r="Q88">
        <v>1</v>
      </c>
      <c r="R88">
        <f t="shared" si="10"/>
        <v>0</v>
      </c>
      <c r="S88">
        <v>3</v>
      </c>
      <c r="T88">
        <v>2</v>
      </c>
      <c r="U88">
        <f t="shared" si="11"/>
        <v>-1</v>
      </c>
      <c r="V88">
        <v>1</v>
      </c>
      <c r="W88">
        <v>0</v>
      </c>
      <c r="X88">
        <f t="shared" si="12"/>
        <v>-1</v>
      </c>
      <c r="Y88" s="2">
        <v>0</v>
      </c>
      <c r="Z88" s="2">
        <v>0</v>
      </c>
      <c r="AA88" s="2">
        <v>0</v>
      </c>
      <c r="AB88">
        <f t="shared" si="7"/>
        <v>0</v>
      </c>
      <c r="AC88" s="2">
        <v>0</v>
      </c>
      <c r="AD88" s="2">
        <v>1</v>
      </c>
      <c r="AE88" s="2">
        <v>0</v>
      </c>
      <c r="AF88" s="2">
        <v>1</v>
      </c>
      <c r="AG88" s="2">
        <v>0</v>
      </c>
      <c r="AH88" s="2">
        <v>0</v>
      </c>
      <c r="AI88" s="2">
        <v>1</v>
      </c>
      <c r="AJ88" s="2">
        <v>0</v>
      </c>
      <c r="AK88">
        <f t="shared" si="13"/>
        <v>0</v>
      </c>
      <c r="AL88" t="s">
        <v>5</v>
      </c>
    </row>
    <row r="89" spans="1:38" x14ac:dyDescent="0.35">
      <c r="A89">
        <v>102</v>
      </c>
      <c r="B89" t="s">
        <v>17</v>
      </c>
      <c r="C89">
        <v>-0.04</v>
      </c>
      <c r="D89" s="2">
        <v>135</v>
      </c>
      <c r="E89" t="s">
        <v>159</v>
      </c>
      <c r="F89" t="s">
        <v>54</v>
      </c>
      <c r="G89" t="s">
        <v>165</v>
      </c>
      <c r="H89">
        <v>0</v>
      </c>
      <c r="I89" s="13">
        <v>0.25</v>
      </c>
      <c r="J89" s="2">
        <v>1</v>
      </c>
      <c r="K89">
        <v>1</v>
      </c>
      <c r="L89" s="2">
        <f t="shared" si="8"/>
        <v>0</v>
      </c>
      <c r="M89">
        <v>7</v>
      </c>
      <c r="N89">
        <v>6</v>
      </c>
      <c r="O89">
        <f t="shared" si="9"/>
        <v>-1</v>
      </c>
      <c r="P89">
        <v>2</v>
      </c>
      <c r="Q89">
        <v>2</v>
      </c>
      <c r="R89">
        <f t="shared" si="10"/>
        <v>0</v>
      </c>
      <c r="S89">
        <v>3</v>
      </c>
      <c r="T89">
        <v>1</v>
      </c>
      <c r="U89">
        <f t="shared" si="11"/>
        <v>-2</v>
      </c>
      <c r="V89">
        <v>1</v>
      </c>
      <c r="W89">
        <v>1</v>
      </c>
      <c r="X89">
        <f t="shared" si="12"/>
        <v>0</v>
      </c>
      <c r="Y89" s="2">
        <v>0</v>
      </c>
      <c r="Z89" s="2">
        <v>0</v>
      </c>
      <c r="AA89" s="2">
        <v>0</v>
      </c>
      <c r="AB89">
        <f t="shared" si="7"/>
        <v>0</v>
      </c>
      <c r="AC89" s="2">
        <v>0</v>
      </c>
      <c r="AD89" s="2">
        <v>1</v>
      </c>
      <c r="AE89" s="2">
        <v>0</v>
      </c>
      <c r="AF89" s="2">
        <v>0</v>
      </c>
      <c r="AG89" s="2">
        <v>0</v>
      </c>
      <c r="AH89" s="2">
        <v>0</v>
      </c>
      <c r="AI89" s="2">
        <v>0</v>
      </c>
      <c r="AJ89" s="2">
        <v>0</v>
      </c>
      <c r="AK89">
        <f t="shared" si="13"/>
        <v>0</v>
      </c>
      <c r="AL89" t="s">
        <v>5</v>
      </c>
    </row>
    <row r="90" spans="1:38" x14ac:dyDescent="0.35">
      <c r="A90">
        <v>103</v>
      </c>
      <c r="B90" t="s">
        <v>17</v>
      </c>
      <c r="C90">
        <v>-0.04</v>
      </c>
      <c r="D90" s="2">
        <v>98</v>
      </c>
      <c r="E90" t="s">
        <v>159</v>
      </c>
      <c r="F90" t="s">
        <v>52</v>
      </c>
      <c r="G90" t="s">
        <v>165</v>
      </c>
      <c r="H90">
        <v>0</v>
      </c>
      <c r="I90" s="13">
        <v>0</v>
      </c>
      <c r="J90" s="2">
        <v>1</v>
      </c>
      <c r="K90">
        <v>1</v>
      </c>
      <c r="L90" s="2">
        <f t="shared" si="8"/>
        <v>0</v>
      </c>
      <c r="P90">
        <v>2</v>
      </c>
      <c r="Q90">
        <v>2</v>
      </c>
      <c r="R90">
        <f t="shared" si="10"/>
        <v>0</v>
      </c>
      <c r="S90">
        <v>2</v>
      </c>
      <c r="T90">
        <v>2</v>
      </c>
      <c r="U90">
        <f t="shared" si="11"/>
        <v>0</v>
      </c>
      <c r="V90">
        <v>1</v>
      </c>
      <c r="W90">
        <v>1</v>
      </c>
      <c r="X90">
        <f t="shared" si="12"/>
        <v>0</v>
      </c>
      <c r="Y90" s="2">
        <v>0</v>
      </c>
      <c r="Z90" s="2">
        <v>0</v>
      </c>
      <c r="AA90" s="2">
        <v>0</v>
      </c>
      <c r="AB90">
        <f t="shared" si="7"/>
        <v>0</v>
      </c>
      <c r="AC90" s="2">
        <v>0</v>
      </c>
      <c r="AD90" s="2">
        <v>1</v>
      </c>
      <c r="AE90" s="2">
        <v>0</v>
      </c>
      <c r="AF90" s="2">
        <v>0</v>
      </c>
      <c r="AG90" s="2">
        <v>0</v>
      </c>
      <c r="AH90" s="2">
        <v>0</v>
      </c>
      <c r="AI90" s="2">
        <v>1</v>
      </c>
      <c r="AJ90" s="2">
        <v>0</v>
      </c>
      <c r="AK90">
        <f t="shared" si="13"/>
        <v>0</v>
      </c>
      <c r="AL90" t="s">
        <v>139</v>
      </c>
    </row>
    <row r="91" spans="1:38" x14ac:dyDescent="0.35">
      <c r="A91">
        <v>104</v>
      </c>
      <c r="B91" t="s">
        <v>15</v>
      </c>
      <c r="C91">
        <v>1.61</v>
      </c>
      <c r="D91" s="2">
        <v>7</v>
      </c>
      <c r="E91" t="s">
        <v>51</v>
      </c>
      <c r="F91" t="s">
        <v>55</v>
      </c>
      <c r="G91" t="s">
        <v>165</v>
      </c>
      <c r="H91">
        <v>0</v>
      </c>
      <c r="I91" s="13">
        <v>0</v>
      </c>
      <c r="J91" s="2">
        <v>3</v>
      </c>
      <c r="K91">
        <v>3</v>
      </c>
      <c r="L91" s="2">
        <f t="shared" si="8"/>
        <v>0</v>
      </c>
      <c r="M91">
        <v>6</v>
      </c>
      <c r="N91">
        <v>6</v>
      </c>
      <c r="O91">
        <f t="shared" si="9"/>
        <v>0</v>
      </c>
      <c r="P91">
        <v>2</v>
      </c>
      <c r="Q91">
        <v>2</v>
      </c>
      <c r="R91">
        <f t="shared" si="10"/>
        <v>0</v>
      </c>
      <c r="S91">
        <v>2</v>
      </c>
      <c r="T91">
        <v>2</v>
      </c>
      <c r="U91">
        <f t="shared" si="11"/>
        <v>0</v>
      </c>
      <c r="V91">
        <v>1</v>
      </c>
      <c r="W91">
        <v>1</v>
      </c>
      <c r="X91">
        <f t="shared" si="12"/>
        <v>0</v>
      </c>
      <c r="Y91" s="2">
        <v>0</v>
      </c>
      <c r="Z91" s="2">
        <v>0</v>
      </c>
      <c r="AA91" s="2">
        <v>0</v>
      </c>
      <c r="AB91">
        <f t="shared" si="7"/>
        <v>0</v>
      </c>
      <c r="AC91" s="2">
        <v>0</v>
      </c>
      <c r="AD91" s="2">
        <v>1</v>
      </c>
      <c r="AE91" s="2">
        <v>0</v>
      </c>
      <c r="AF91" s="2">
        <v>1</v>
      </c>
      <c r="AG91" s="2">
        <v>0</v>
      </c>
      <c r="AH91" s="2">
        <v>0</v>
      </c>
      <c r="AI91" s="2">
        <v>1</v>
      </c>
      <c r="AJ91" s="2">
        <v>0</v>
      </c>
      <c r="AK91">
        <f t="shared" si="13"/>
        <v>0</v>
      </c>
      <c r="AL91" t="s">
        <v>5</v>
      </c>
    </row>
    <row r="92" spans="1:38" x14ac:dyDescent="0.35">
      <c r="A92">
        <v>105</v>
      </c>
      <c r="B92" t="s">
        <v>164</v>
      </c>
      <c r="C92">
        <v>1.47</v>
      </c>
      <c r="D92" s="5">
        <v>26</v>
      </c>
      <c r="E92" t="s">
        <v>161</v>
      </c>
      <c r="F92" t="s">
        <v>58</v>
      </c>
      <c r="G92" t="s">
        <v>165</v>
      </c>
      <c r="H92">
        <v>0</v>
      </c>
      <c r="I92" s="13">
        <v>0</v>
      </c>
      <c r="J92" s="2">
        <v>4</v>
      </c>
      <c r="K92">
        <v>4</v>
      </c>
      <c r="L92" s="2">
        <f t="shared" si="8"/>
        <v>0</v>
      </c>
      <c r="M92">
        <v>3</v>
      </c>
      <c r="N92">
        <v>3</v>
      </c>
      <c r="O92">
        <f t="shared" si="9"/>
        <v>0</v>
      </c>
      <c r="P92">
        <v>1</v>
      </c>
      <c r="Q92">
        <v>1</v>
      </c>
      <c r="R92">
        <f t="shared" si="10"/>
        <v>0</v>
      </c>
      <c r="S92">
        <v>1</v>
      </c>
      <c r="T92">
        <v>1</v>
      </c>
      <c r="U92">
        <f t="shared" si="11"/>
        <v>0</v>
      </c>
      <c r="V92">
        <v>0</v>
      </c>
      <c r="W92">
        <v>0</v>
      </c>
      <c r="X92">
        <f t="shared" si="12"/>
        <v>0</v>
      </c>
      <c r="Y92" s="2">
        <v>0</v>
      </c>
      <c r="Z92" s="2">
        <v>0</v>
      </c>
      <c r="AA92" s="2">
        <v>0</v>
      </c>
      <c r="AB92">
        <f t="shared" si="7"/>
        <v>0</v>
      </c>
      <c r="AC92" s="2">
        <v>1</v>
      </c>
      <c r="AD92" s="2">
        <v>0</v>
      </c>
      <c r="AE92" s="2">
        <v>0</v>
      </c>
      <c r="AF92" s="2">
        <v>1</v>
      </c>
      <c r="AG92" s="2">
        <v>0</v>
      </c>
      <c r="AH92" s="2">
        <v>0</v>
      </c>
      <c r="AI92" s="2">
        <v>0</v>
      </c>
      <c r="AJ92" s="2">
        <v>0</v>
      </c>
      <c r="AK92">
        <f t="shared" si="13"/>
        <v>0</v>
      </c>
      <c r="AL92" s="9" t="s">
        <v>38</v>
      </c>
    </row>
    <row r="93" spans="1:38" x14ac:dyDescent="0.35">
      <c r="A93">
        <v>106</v>
      </c>
      <c r="B93" t="s">
        <v>15</v>
      </c>
      <c r="C93">
        <v>1.61</v>
      </c>
      <c r="D93" s="2">
        <v>3</v>
      </c>
      <c r="E93" t="s">
        <v>51</v>
      </c>
      <c r="F93" t="s">
        <v>52</v>
      </c>
      <c r="G93" t="s">
        <v>165</v>
      </c>
      <c r="H93">
        <v>0</v>
      </c>
      <c r="I93" s="13">
        <v>0</v>
      </c>
      <c r="J93" s="2">
        <v>4</v>
      </c>
      <c r="K93">
        <v>4</v>
      </c>
      <c r="L93" s="2">
        <f t="shared" si="8"/>
        <v>0</v>
      </c>
      <c r="M93">
        <v>8</v>
      </c>
      <c r="N93">
        <v>8</v>
      </c>
      <c r="O93">
        <f t="shared" si="9"/>
        <v>0</v>
      </c>
      <c r="P93">
        <v>3</v>
      </c>
      <c r="Q93">
        <v>3</v>
      </c>
      <c r="R93">
        <f t="shared" si="10"/>
        <v>0</v>
      </c>
      <c r="S93">
        <v>2</v>
      </c>
      <c r="T93">
        <v>2</v>
      </c>
      <c r="U93">
        <f t="shared" si="11"/>
        <v>0</v>
      </c>
      <c r="V93">
        <v>2</v>
      </c>
      <c r="W93">
        <v>1</v>
      </c>
      <c r="X93">
        <f t="shared" si="12"/>
        <v>-1</v>
      </c>
      <c r="Y93" s="2">
        <v>0</v>
      </c>
      <c r="Z93" s="2">
        <v>0</v>
      </c>
      <c r="AA93" s="2">
        <v>0</v>
      </c>
      <c r="AB93">
        <f t="shared" si="7"/>
        <v>0</v>
      </c>
      <c r="AC93" s="2">
        <v>0</v>
      </c>
      <c r="AD93" s="2">
        <v>1</v>
      </c>
      <c r="AE93" s="2">
        <v>0</v>
      </c>
      <c r="AF93" s="2">
        <v>0</v>
      </c>
      <c r="AG93" s="2">
        <v>0</v>
      </c>
      <c r="AH93" s="2">
        <v>0</v>
      </c>
      <c r="AI93" s="2">
        <v>0</v>
      </c>
      <c r="AJ93" s="2">
        <v>0</v>
      </c>
      <c r="AK93">
        <f t="shared" si="13"/>
        <v>0</v>
      </c>
      <c r="AL93" t="s">
        <v>139</v>
      </c>
    </row>
    <row r="94" spans="1:38" x14ac:dyDescent="0.35">
      <c r="A94">
        <v>107</v>
      </c>
      <c r="B94" t="s">
        <v>17</v>
      </c>
      <c r="C94">
        <v>-0.04</v>
      </c>
      <c r="D94" s="2">
        <v>60</v>
      </c>
      <c r="E94" t="s">
        <v>159</v>
      </c>
      <c r="F94" t="s">
        <v>54</v>
      </c>
      <c r="G94" t="s">
        <v>165</v>
      </c>
      <c r="H94">
        <v>0</v>
      </c>
      <c r="I94" s="13">
        <v>0.75</v>
      </c>
      <c r="J94" s="2">
        <v>9</v>
      </c>
      <c r="K94">
        <v>9</v>
      </c>
      <c r="L94" s="2">
        <f t="shared" si="8"/>
        <v>0</v>
      </c>
      <c r="M94">
        <v>7</v>
      </c>
      <c r="N94">
        <v>5</v>
      </c>
      <c r="O94">
        <f t="shared" si="9"/>
        <v>-2</v>
      </c>
      <c r="P94">
        <v>3</v>
      </c>
      <c r="Q94">
        <v>3</v>
      </c>
      <c r="R94">
        <f t="shared" si="10"/>
        <v>0</v>
      </c>
      <c r="S94">
        <v>4</v>
      </c>
      <c r="T94">
        <v>3</v>
      </c>
      <c r="U94">
        <f t="shared" si="11"/>
        <v>-1</v>
      </c>
      <c r="V94">
        <v>1</v>
      </c>
      <c r="W94">
        <v>1</v>
      </c>
      <c r="X94">
        <f t="shared" si="12"/>
        <v>0</v>
      </c>
      <c r="Y94" s="2">
        <v>0</v>
      </c>
      <c r="Z94" s="2">
        <v>0</v>
      </c>
      <c r="AA94" s="2">
        <v>0</v>
      </c>
      <c r="AB94">
        <f t="shared" si="7"/>
        <v>0</v>
      </c>
      <c r="AC94" s="2">
        <v>0</v>
      </c>
      <c r="AD94" s="2">
        <v>1</v>
      </c>
      <c r="AE94" s="2">
        <v>0</v>
      </c>
      <c r="AF94" s="2">
        <v>1</v>
      </c>
      <c r="AG94" s="2">
        <v>0</v>
      </c>
      <c r="AH94" s="2">
        <v>1</v>
      </c>
      <c r="AI94" s="2">
        <v>0</v>
      </c>
      <c r="AJ94" s="2">
        <v>1</v>
      </c>
      <c r="AK94">
        <f t="shared" si="13"/>
        <v>0</v>
      </c>
      <c r="AL94" t="s">
        <v>5</v>
      </c>
    </row>
    <row r="95" spans="1:38" x14ac:dyDescent="0.35">
      <c r="A95">
        <v>108</v>
      </c>
      <c r="B95" t="s">
        <v>15</v>
      </c>
      <c r="C95">
        <v>1.61</v>
      </c>
      <c r="D95" s="2">
        <v>8</v>
      </c>
      <c r="E95" t="s">
        <v>51</v>
      </c>
      <c r="F95" t="s">
        <v>52</v>
      </c>
      <c r="G95" t="s">
        <v>165</v>
      </c>
      <c r="H95">
        <v>1</v>
      </c>
      <c r="I95" s="13">
        <v>0.75</v>
      </c>
      <c r="J95" s="2">
        <v>13</v>
      </c>
      <c r="K95">
        <v>1</v>
      </c>
      <c r="L95" s="2">
        <f t="shared" si="8"/>
        <v>-12</v>
      </c>
      <c r="M95">
        <v>8</v>
      </c>
      <c r="N95">
        <v>1</v>
      </c>
      <c r="O95">
        <f t="shared" si="9"/>
        <v>-7</v>
      </c>
      <c r="P95">
        <v>1</v>
      </c>
      <c r="Q95">
        <v>1</v>
      </c>
      <c r="R95">
        <f t="shared" si="10"/>
        <v>0</v>
      </c>
      <c r="S95">
        <v>1</v>
      </c>
      <c r="T95">
        <v>1</v>
      </c>
      <c r="U95">
        <f t="shared" si="11"/>
        <v>0</v>
      </c>
      <c r="V95">
        <v>0</v>
      </c>
      <c r="W95">
        <v>1</v>
      </c>
      <c r="X95">
        <f t="shared" si="12"/>
        <v>1</v>
      </c>
      <c r="Y95" s="2">
        <v>0</v>
      </c>
      <c r="Z95" s="2">
        <v>1</v>
      </c>
      <c r="AA95" s="2">
        <v>1</v>
      </c>
      <c r="AB95">
        <f t="shared" si="7"/>
        <v>1</v>
      </c>
      <c r="AC95" s="2">
        <v>1</v>
      </c>
      <c r="AD95" s="2">
        <v>1</v>
      </c>
      <c r="AE95" s="2">
        <v>0</v>
      </c>
      <c r="AF95" s="2">
        <v>1</v>
      </c>
      <c r="AG95" s="2">
        <v>0</v>
      </c>
      <c r="AH95" s="2">
        <v>1</v>
      </c>
      <c r="AI95" s="2">
        <v>0</v>
      </c>
      <c r="AJ95" s="2">
        <v>0</v>
      </c>
      <c r="AK95">
        <f t="shared" si="13"/>
        <v>0</v>
      </c>
      <c r="AL95" t="s">
        <v>136</v>
      </c>
    </row>
    <row r="96" spans="1:38" x14ac:dyDescent="0.35">
      <c r="A96">
        <v>109</v>
      </c>
      <c r="B96" t="s">
        <v>17</v>
      </c>
      <c r="C96">
        <v>-0.04</v>
      </c>
      <c r="D96" s="2">
        <v>40</v>
      </c>
      <c r="E96" t="s">
        <v>159</v>
      </c>
      <c r="F96" t="s">
        <v>55</v>
      </c>
      <c r="G96" t="s">
        <v>165</v>
      </c>
      <c r="H96">
        <v>0</v>
      </c>
      <c r="I96" s="13">
        <v>1</v>
      </c>
      <c r="J96" s="2">
        <v>3</v>
      </c>
      <c r="K96">
        <v>3</v>
      </c>
      <c r="L96" s="2">
        <f t="shared" si="8"/>
        <v>0</v>
      </c>
      <c r="M96">
        <v>9</v>
      </c>
      <c r="N96">
        <v>8</v>
      </c>
      <c r="O96">
        <f t="shared" si="9"/>
        <v>-1</v>
      </c>
      <c r="P96">
        <v>3</v>
      </c>
      <c r="Q96">
        <v>3</v>
      </c>
      <c r="R96">
        <f t="shared" si="10"/>
        <v>0</v>
      </c>
      <c r="S96">
        <v>1</v>
      </c>
      <c r="T96">
        <v>1</v>
      </c>
      <c r="U96">
        <f t="shared" si="11"/>
        <v>0</v>
      </c>
      <c r="V96">
        <v>2</v>
      </c>
      <c r="W96">
        <v>2</v>
      </c>
      <c r="X96">
        <f t="shared" si="12"/>
        <v>0</v>
      </c>
      <c r="Y96" s="2">
        <v>0</v>
      </c>
      <c r="Z96" s="2">
        <v>0</v>
      </c>
      <c r="AA96" s="2">
        <v>0</v>
      </c>
      <c r="AB96">
        <f t="shared" si="7"/>
        <v>0</v>
      </c>
      <c r="AC96" s="2">
        <v>0</v>
      </c>
      <c r="AD96" s="2">
        <v>0</v>
      </c>
      <c r="AE96" s="2">
        <v>0</v>
      </c>
      <c r="AF96" s="2">
        <v>0</v>
      </c>
      <c r="AG96" s="2">
        <v>0</v>
      </c>
      <c r="AH96" s="2">
        <v>0</v>
      </c>
      <c r="AI96" s="2">
        <v>0</v>
      </c>
      <c r="AJ96" s="2">
        <v>0</v>
      </c>
      <c r="AK96">
        <f t="shared" si="13"/>
        <v>1</v>
      </c>
      <c r="AL96" t="s">
        <v>139</v>
      </c>
    </row>
    <row r="97" spans="1:38" x14ac:dyDescent="0.35">
      <c r="A97">
        <v>110</v>
      </c>
      <c r="B97" t="s">
        <v>13</v>
      </c>
      <c r="C97">
        <v>1.42</v>
      </c>
      <c r="D97" s="2">
        <v>15</v>
      </c>
      <c r="E97" t="s">
        <v>159</v>
      </c>
      <c r="F97" t="s">
        <v>55</v>
      </c>
      <c r="G97" t="s">
        <v>165</v>
      </c>
      <c r="H97">
        <v>0</v>
      </c>
      <c r="I97" s="13">
        <v>0</v>
      </c>
      <c r="J97" s="2">
        <v>3</v>
      </c>
      <c r="K97">
        <v>3</v>
      </c>
      <c r="L97" s="2">
        <f t="shared" si="8"/>
        <v>0</v>
      </c>
      <c r="M97">
        <v>9</v>
      </c>
      <c r="N97">
        <v>8</v>
      </c>
      <c r="O97">
        <f t="shared" si="9"/>
        <v>-1</v>
      </c>
      <c r="P97">
        <v>1</v>
      </c>
      <c r="Q97">
        <v>1</v>
      </c>
      <c r="R97">
        <f t="shared" si="10"/>
        <v>0</v>
      </c>
      <c r="S97">
        <v>4</v>
      </c>
      <c r="T97">
        <v>1</v>
      </c>
      <c r="U97">
        <f t="shared" si="11"/>
        <v>-3</v>
      </c>
      <c r="V97">
        <v>1</v>
      </c>
      <c r="W97">
        <v>2</v>
      </c>
      <c r="X97">
        <f t="shared" si="12"/>
        <v>1</v>
      </c>
      <c r="Y97" s="2">
        <v>0</v>
      </c>
      <c r="Z97" s="2">
        <v>0</v>
      </c>
      <c r="AA97" s="2">
        <v>0</v>
      </c>
      <c r="AB97">
        <f t="shared" si="7"/>
        <v>0</v>
      </c>
      <c r="AC97" s="2">
        <v>0</v>
      </c>
      <c r="AD97" s="2">
        <v>0</v>
      </c>
      <c r="AE97" s="2">
        <v>0</v>
      </c>
      <c r="AF97" s="2">
        <v>1</v>
      </c>
      <c r="AG97" s="2">
        <v>0</v>
      </c>
      <c r="AH97" s="2">
        <v>0</v>
      </c>
      <c r="AI97" s="2">
        <v>0</v>
      </c>
      <c r="AJ97" s="2">
        <v>1</v>
      </c>
      <c r="AK97">
        <f t="shared" si="13"/>
        <v>0</v>
      </c>
      <c r="AL97" t="s">
        <v>139</v>
      </c>
    </row>
    <row r="98" spans="1:38" x14ac:dyDescent="0.35">
      <c r="A98">
        <v>111</v>
      </c>
      <c r="B98" t="s">
        <v>13</v>
      </c>
      <c r="C98">
        <v>1.42</v>
      </c>
      <c r="D98" s="2">
        <v>27</v>
      </c>
      <c r="E98" t="s">
        <v>159</v>
      </c>
      <c r="F98" t="s">
        <v>54</v>
      </c>
      <c r="G98" t="s">
        <v>165</v>
      </c>
      <c r="H98">
        <v>0</v>
      </c>
      <c r="I98" s="13">
        <v>1</v>
      </c>
      <c r="J98" s="5">
        <v>11</v>
      </c>
      <c r="K98" s="9">
        <v>11</v>
      </c>
      <c r="L98" s="2">
        <f t="shared" si="8"/>
        <v>0</v>
      </c>
      <c r="M98">
        <v>5</v>
      </c>
      <c r="N98">
        <v>5</v>
      </c>
      <c r="O98">
        <f t="shared" si="9"/>
        <v>0</v>
      </c>
      <c r="P98">
        <v>1</v>
      </c>
      <c r="Q98">
        <v>1</v>
      </c>
      <c r="R98">
        <f t="shared" si="10"/>
        <v>0</v>
      </c>
      <c r="S98">
        <v>2</v>
      </c>
      <c r="T98">
        <v>3</v>
      </c>
      <c r="U98">
        <f t="shared" si="11"/>
        <v>1</v>
      </c>
      <c r="V98">
        <v>2</v>
      </c>
      <c r="W98">
        <v>2</v>
      </c>
      <c r="X98">
        <f t="shared" si="12"/>
        <v>0</v>
      </c>
      <c r="Y98" s="2">
        <v>0</v>
      </c>
      <c r="Z98" s="2">
        <v>1</v>
      </c>
      <c r="AA98" s="2">
        <v>1</v>
      </c>
      <c r="AB98">
        <f t="shared" si="7"/>
        <v>1</v>
      </c>
      <c r="AC98" s="2">
        <v>0</v>
      </c>
      <c r="AD98" s="2">
        <v>0</v>
      </c>
      <c r="AE98" s="2">
        <v>0</v>
      </c>
      <c r="AF98" s="2">
        <v>1</v>
      </c>
      <c r="AG98" s="2">
        <v>0</v>
      </c>
      <c r="AH98" s="2">
        <v>0</v>
      </c>
      <c r="AI98" s="2">
        <v>0</v>
      </c>
      <c r="AJ98" s="2">
        <v>0</v>
      </c>
      <c r="AK98">
        <f t="shared" si="13"/>
        <v>0</v>
      </c>
      <c r="AL98" t="s">
        <v>136</v>
      </c>
    </row>
    <row r="99" spans="1:38" x14ac:dyDescent="0.35">
      <c r="A99">
        <v>112</v>
      </c>
      <c r="B99" t="s">
        <v>15</v>
      </c>
      <c r="C99">
        <v>1.61</v>
      </c>
      <c r="D99" s="2">
        <v>118</v>
      </c>
      <c r="E99" t="s">
        <v>51</v>
      </c>
      <c r="F99" t="s">
        <v>54</v>
      </c>
      <c r="G99" t="s">
        <v>166</v>
      </c>
      <c r="H99">
        <v>0</v>
      </c>
      <c r="I99" s="13">
        <v>0</v>
      </c>
      <c r="J99" s="2">
        <v>4</v>
      </c>
      <c r="K99">
        <v>4</v>
      </c>
      <c r="L99" s="2">
        <f t="shared" si="8"/>
        <v>0</v>
      </c>
      <c r="M99">
        <v>8</v>
      </c>
      <c r="N99">
        <v>8</v>
      </c>
      <c r="O99">
        <f t="shared" si="9"/>
        <v>0</v>
      </c>
      <c r="P99">
        <v>2</v>
      </c>
      <c r="Q99">
        <v>2</v>
      </c>
      <c r="R99">
        <f t="shared" si="10"/>
        <v>0</v>
      </c>
      <c r="S99">
        <v>1</v>
      </c>
      <c r="T99">
        <v>1</v>
      </c>
      <c r="U99">
        <f t="shared" si="11"/>
        <v>0</v>
      </c>
      <c r="V99">
        <v>2</v>
      </c>
      <c r="W99">
        <v>2</v>
      </c>
      <c r="X99">
        <f t="shared" si="12"/>
        <v>0</v>
      </c>
      <c r="Y99" s="2">
        <v>0</v>
      </c>
      <c r="Z99" s="2">
        <v>0</v>
      </c>
      <c r="AA99" s="2">
        <v>0</v>
      </c>
      <c r="AB99">
        <f t="shared" si="7"/>
        <v>0</v>
      </c>
      <c r="AC99" s="2">
        <v>0</v>
      </c>
      <c r="AD99" s="2">
        <v>0</v>
      </c>
      <c r="AE99" s="2">
        <v>0</v>
      </c>
      <c r="AF99" s="2">
        <v>1</v>
      </c>
      <c r="AG99" s="2">
        <v>0</v>
      </c>
      <c r="AH99" s="2">
        <v>0</v>
      </c>
      <c r="AI99" s="2">
        <v>1</v>
      </c>
      <c r="AJ99" s="2">
        <v>0</v>
      </c>
      <c r="AK99">
        <f t="shared" si="13"/>
        <v>0</v>
      </c>
      <c r="AL99" t="s">
        <v>8</v>
      </c>
    </row>
    <row r="100" spans="1:38" x14ac:dyDescent="0.35">
      <c r="A100">
        <v>113</v>
      </c>
      <c r="B100" t="s">
        <v>15</v>
      </c>
      <c r="C100">
        <v>1.61</v>
      </c>
      <c r="D100" s="2">
        <v>50</v>
      </c>
      <c r="E100" t="s">
        <v>51</v>
      </c>
      <c r="F100" t="s">
        <v>52</v>
      </c>
      <c r="G100" t="s">
        <v>166</v>
      </c>
      <c r="H100">
        <v>0</v>
      </c>
      <c r="I100" s="13">
        <v>0</v>
      </c>
      <c r="J100" s="2">
        <v>7</v>
      </c>
      <c r="K100">
        <v>8</v>
      </c>
      <c r="L100" s="2">
        <f t="shared" si="8"/>
        <v>1</v>
      </c>
      <c r="M100">
        <v>7</v>
      </c>
      <c r="N100">
        <v>7</v>
      </c>
      <c r="O100">
        <f t="shared" si="9"/>
        <v>0</v>
      </c>
      <c r="P100">
        <v>2</v>
      </c>
      <c r="Q100">
        <v>2</v>
      </c>
      <c r="R100">
        <f t="shared" si="10"/>
        <v>0</v>
      </c>
      <c r="S100">
        <v>1</v>
      </c>
      <c r="T100">
        <v>1</v>
      </c>
      <c r="U100">
        <f t="shared" si="11"/>
        <v>0</v>
      </c>
      <c r="V100">
        <v>0</v>
      </c>
      <c r="W100">
        <v>0</v>
      </c>
      <c r="X100">
        <f t="shared" si="12"/>
        <v>0</v>
      </c>
      <c r="Y100" s="2">
        <v>0</v>
      </c>
      <c r="Z100" s="2">
        <v>0</v>
      </c>
      <c r="AA100" s="2">
        <v>0</v>
      </c>
      <c r="AB100">
        <f t="shared" si="7"/>
        <v>0</v>
      </c>
      <c r="AC100" s="2">
        <v>0</v>
      </c>
      <c r="AD100" s="2">
        <v>1</v>
      </c>
      <c r="AE100" s="2">
        <v>0</v>
      </c>
      <c r="AF100" s="2">
        <v>1</v>
      </c>
      <c r="AG100" s="2">
        <v>0</v>
      </c>
      <c r="AH100" s="2">
        <v>0</v>
      </c>
      <c r="AI100" s="2">
        <v>1</v>
      </c>
      <c r="AJ100" s="2">
        <v>0</v>
      </c>
      <c r="AK100">
        <f t="shared" si="13"/>
        <v>0</v>
      </c>
      <c r="AL100" t="s">
        <v>8</v>
      </c>
    </row>
    <row r="101" spans="1:38" x14ac:dyDescent="0.35">
      <c r="A101">
        <v>114</v>
      </c>
      <c r="B101" t="s">
        <v>126</v>
      </c>
      <c r="C101" s="9">
        <v>1.81</v>
      </c>
      <c r="D101" s="5">
        <v>28</v>
      </c>
      <c r="E101" t="s">
        <v>159</v>
      </c>
      <c r="F101" t="s">
        <v>52</v>
      </c>
      <c r="G101" t="s">
        <v>165</v>
      </c>
      <c r="H101">
        <v>0</v>
      </c>
      <c r="I101" s="13">
        <v>0</v>
      </c>
      <c r="J101" s="2">
        <v>4</v>
      </c>
      <c r="K101">
        <v>4</v>
      </c>
      <c r="L101" s="2">
        <f t="shared" si="8"/>
        <v>0</v>
      </c>
      <c r="M101">
        <v>6</v>
      </c>
      <c r="N101">
        <v>6</v>
      </c>
      <c r="O101">
        <f t="shared" si="9"/>
        <v>0</v>
      </c>
      <c r="P101">
        <v>1</v>
      </c>
      <c r="Q101">
        <v>1</v>
      </c>
      <c r="R101">
        <f t="shared" si="10"/>
        <v>0</v>
      </c>
      <c r="S101">
        <v>3</v>
      </c>
      <c r="T101">
        <v>1</v>
      </c>
      <c r="U101">
        <f t="shared" si="11"/>
        <v>-2</v>
      </c>
      <c r="V101">
        <v>1</v>
      </c>
      <c r="W101">
        <v>1</v>
      </c>
      <c r="X101">
        <f t="shared" si="12"/>
        <v>0</v>
      </c>
      <c r="Y101" s="2">
        <v>0</v>
      </c>
      <c r="Z101" s="2">
        <v>0</v>
      </c>
      <c r="AA101" s="2">
        <v>0</v>
      </c>
      <c r="AB101">
        <f t="shared" si="7"/>
        <v>0</v>
      </c>
      <c r="AC101" s="2">
        <v>0</v>
      </c>
      <c r="AD101" s="2">
        <v>1</v>
      </c>
      <c r="AE101" s="2">
        <v>0</v>
      </c>
      <c r="AF101" s="2">
        <v>1</v>
      </c>
      <c r="AG101" s="2">
        <v>0</v>
      </c>
      <c r="AH101" s="2">
        <v>0</v>
      </c>
      <c r="AI101" s="2">
        <v>0</v>
      </c>
      <c r="AJ101" s="2">
        <v>1</v>
      </c>
      <c r="AK101">
        <f t="shared" si="13"/>
        <v>0</v>
      </c>
      <c r="AL101" s="9" t="s">
        <v>5</v>
      </c>
    </row>
    <row r="102" spans="1:38" x14ac:dyDescent="0.35">
      <c r="A102">
        <v>115</v>
      </c>
      <c r="B102" t="s">
        <v>126</v>
      </c>
      <c r="C102" s="9">
        <v>1.81</v>
      </c>
      <c r="D102" s="5">
        <v>25</v>
      </c>
      <c r="E102" t="s">
        <v>60</v>
      </c>
      <c r="F102" t="s">
        <v>52</v>
      </c>
      <c r="G102" t="s">
        <v>165</v>
      </c>
      <c r="H102">
        <v>0</v>
      </c>
      <c r="I102" s="13">
        <v>0.25</v>
      </c>
      <c r="J102" s="2">
        <v>2</v>
      </c>
      <c r="K102">
        <v>2</v>
      </c>
      <c r="L102" s="2">
        <f t="shared" si="8"/>
        <v>0</v>
      </c>
      <c r="M102">
        <v>7</v>
      </c>
      <c r="N102">
        <v>7</v>
      </c>
      <c r="O102">
        <f t="shared" si="9"/>
        <v>0</v>
      </c>
      <c r="P102">
        <v>3</v>
      </c>
      <c r="Q102">
        <v>3</v>
      </c>
      <c r="R102">
        <f t="shared" si="10"/>
        <v>0</v>
      </c>
      <c r="S102">
        <v>4</v>
      </c>
      <c r="T102">
        <v>4</v>
      </c>
      <c r="U102">
        <f t="shared" si="11"/>
        <v>0</v>
      </c>
      <c r="V102">
        <v>1</v>
      </c>
      <c r="W102">
        <v>1</v>
      </c>
      <c r="X102">
        <f t="shared" si="12"/>
        <v>0</v>
      </c>
      <c r="Y102" s="2">
        <v>0</v>
      </c>
      <c r="Z102" s="2">
        <v>0</v>
      </c>
      <c r="AA102" s="2">
        <v>0</v>
      </c>
      <c r="AB102">
        <f t="shared" si="7"/>
        <v>0</v>
      </c>
      <c r="AC102" s="2">
        <v>0</v>
      </c>
      <c r="AD102" s="2">
        <v>1</v>
      </c>
      <c r="AE102" s="2">
        <v>0</v>
      </c>
      <c r="AF102" s="2">
        <v>1</v>
      </c>
      <c r="AG102" s="2">
        <v>0</v>
      </c>
      <c r="AH102" s="2">
        <v>0</v>
      </c>
      <c r="AI102" s="2">
        <v>0</v>
      </c>
      <c r="AJ102" s="2">
        <v>1</v>
      </c>
      <c r="AK102">
        <f t="shared" si="13"/>
        <v>0</v>
      </c>
      <c r="AL102" s="9" t="s">
        <v>38</v>
      </c>
    </row>
    <row r="103" spans="1:38" x14ac:dyDescent="0.35">
      <c r="A103">
        <v>116</v>
      </c>
      <c r="B103" t="s">
        <v>126</v>
      </c>
      <c r="C103" s="9">
        <v>1.81</v>
      </c>
      <c r="D103" s="2">
        <v>21</v>
      </c>
      <c r="E103" t="s">
        <v>140</v>
      </c>
      <c r="F103" t="s">
        <v>52</v>
      </c>
      <c r="G103" t="s">
        <v>165</v>
      </c>
      <c r="H103">
        <v>0</v>
      </c>
      <c r="I103" s="13">
        <v>0</v>
      </c>
      <c r="J103" s="2">
        <v>4</v>
      </c>
      <c r="K103">
        <v>4</v>
      </c>
      <c r="L103" s="2">
        <f t="shared" si="8"/>
        <v>0</v>
      </c>
      <c r="M103">
        <v>6</v>
      </c>
      <c r="N103">
        <v>6</v>
      </c>
      <c r="O103">
        <f t="shared" si="9"/>
        <v>0</v>
      </c>
      <c r="P103">
        <v>2</v>
      </c>
      <c r="Q103">
        <v>2</v>
      </c>
      <c r="R103">
        <f t="shared" si="10"/>
        <v>0</v>
      </c>
      <c r="S103">
        <v>1</v>
      </c>
      <c r="T103">
        <v>1</v>
      </c>
      <c r="U103">
        <f t="shared" si="11"/>
        <v>0</v>
      </c>
      <c r="V103">
        <v>0</v>
      </c>
      <c r="W103">
        <v>0</v>
      </c>
      <c r="X103">
        <f t="shared" si="12"/>
        <v>0</v>
      </c>
      <c r="Y103" s="2">
        <v>0</v>
      </c>
      <c r="Z103" s="2">
        <v>0</v>
      </c>
      <c r="AA103" s="2">
        <v>0</v>
      </c>
      <c r="AB103">
        <f t="shared" si="7"/>
        <v>0</v>
      </c>
      <c r="AC103" s="2">
        <v>0</v>
      </c>
      <c r="AD103" s="2">
        <v>0</v>
      </c>
      <c r="AE103" s="2">
        <v>0</v>
      </c>
      <c r="AF103" s="2">
        <v>1</v>
      </c>
      <c r="AG103" s="2">
        <v>0</v>
      </c>
      <c r="AH103" s="2">
        <v>0</v>
      </c>
      <c r="AI103" s="2">
        <v>0</v>
      </c>
      <c r="AJ103" s="2">
        <v>1</v>
      </c>
      <c r="AK103">
        <f t="shared" si="13"/>
        <v>0</v>
      </c>
      <c r="AL103" t="s">
        <v>42</v>
      </c>
    </row>
    <row r="104" spans="1:38" x14ac:dyDescent="0.35">
      <c r="A104">
        <v>117</v>
      </c>
      <c r="B104" t="s">
        <v>15</v>
      </c>
      <c r="C104">
        <v>1.61</v>
      </c>
      <c r="D104" s="2">
        <v>2</v>
      </c>
      <c r="E104" t="s">
        <v>51</v>
      </c>
      <c r="F104" t="s">
        <v>52</v>
      </c>
      <c r="G104" t="s">
        <v>165</v>
      </c>
      <c r="H104">
        <v>0</v>
      </c>
      <c r="I104" s="13">
        <v>0</v>
      </c>
      <c r="J104" s="2">
        <v>5</v>
      </c>
      <c r="K104">
        <v>5</v>
      </c>
      <c r="L104" s="2">
        <f t="shared" si="8"/>
        <v>0</v>
      </c>
      <c r="M104">
        <v>9</v>
      </c>
      <c r="N104">
        <v>9</v>
      </c>
      <c r="O104">
        <f t="shared" si="9"/>
        <v>0</v>
      </c>
      <c r="P104">
        <v>3</v>
      </c>
      <c r="Q104">
        <v>3</v>
      </c>
      <c r="R104">
        <f t="shared" si="10"/>
        <v>0</v>
      </c>
      <c r="S104">
        <v>1</v>
      </c>
      <c r="T104">
        <v>1</v>
      </c>
      <c r="U104">
        <f t="shared" si="11"/>
        <v>0</v>
      </c>
      <c r="V104">
        <v>0</v>
      </c>
      <c r="W104">
        <v>0</v>
      </c>
      <c r="X104">
        <f t="shared" si="12"/>
        <v>0</v>
      </c>
      <c r="Y104" s="2">
        <v>0</v>
      </c>
      <c r="Z104" s="2">
        <v>0</v>
      </c>
      <c r="AA104" s="2">
        <v>0</v>
      </c>
      <c r="AB104">
        <f t="shared" si="7"/>
        <v>0</v>
      </c>
      <c r="AC104" s="2">
        <v>0</v>
      </c>
      <c r="AD104" s="2">
        <v>0</v>
      </c>
      <c r="AE104" s="2">
        <v>0</v>
      </c>
      <c r="AF104" s="2">
        <v>0</v>
      </c>
      <c r="AG104" s="2">
        <v>0</v>
      </c>
      <c r="AH104" s="2">
        <v>0</v>
      </c>
      <c r="AI104" s="2">
        <v>0</v>
      </c>
      <c r="AJ104" s="2">
        <v>1</v>
      </c>
      <c r="AK104">
        <f t="shared" si="13"/>
        <v>0</v>
      </c>
      <c r="AL104" t="s">
        <v>42</v>
      </c>
    </row>
    <row r="105" spans="1:38" x14ac:dyDescent="0.35">
      <c r="A105">
        <v>118</v>
      </c>
      <c r="B105" t="s">
        <v>163</v>
      </c>
      <c r="C105">
        <v>0.44</v>
      </c>
      <c r="D105" s="5">
        <v>12</v>
      </c>
      <c r="E105" t="s">
        <v>60</v>
      </c>
      <c r="F105" t="s">
        <v>54</v>
      </c>
      <c r="G105" t="s">
        <v>166</v>
      </c>
      <c r="H105">
        <v>0</v>
      </c>
      <c r="I105" s="13">
        <v>0.5</v>
      </c>
      <c r="J105" s="2">
        <v>2</v>
      </c>
      <c r="K105">
        <v>1</v>
      </c>
      <c r="L105" s="2">
        <f t="shared" si="8"/>
        <v>-1</v>
      </c>
      <c r="M105">
        <v>8</v>
      </c>
      <c r="N105">
        <v>8</v>
      </c>
      <c r="O105">
        <f t="shared" si="9"/>
        <v>0</v>
      </c>
      <c r="P105">
        <v>1</v>
      </c>
      <c r="Q105">
        <v>1</v>
      </c>
      <c r="R105">
        <f t="shared" si="10"/>
        <v>0</v>
      </c>
      <c r="S105">
        <v>2</v>
      </c>
      <c r="T105">
        <v>1</v>
      </c>
      <c r="U105">
        <f t="shared" si="11"/>
        <v>-1</v>
      </c>
      <c r="V105">
        <v>0</v>
      </c>
      <c r="W105">
        <v>1</v>
      </c>
      <c r="X105">
        <f t="shared" si="12"/>
        <v>1</v>
      </c>
      <c r="Y105" s="2">
        <v>0</v>
      </c>
      <c r="Z105" s="2">
        <v>0</v>
      </c>
      <c r="AA105" s="2">
        <v>0</v>
      </c>
      <c r="AB105">
        <f t="shared" si="7"/>
        <v>0</v>
      </c>
      <c r="AC105" s="2">
        <v>0</v>
      </c>
      <c r="AD105" s="2">
        <v>1</v>
      </c>
      <c r="AE105" s="2">
        <v>0</v>
      </c>
      <c r="AF105" s="2">
        <v>1</v>
      </c>
      <c r="AG105" s="2">
        <v>0</v>
      </c>
      <c r="AH105" s="2">
        <v>0</v>
      </c>
      <c r="AI105" s="2">
        <v>1</v>
      </c>
      <c r="AJ105" s="2">
        <v>0</v>
      </c>
      <c r="AK105">
        <f t="shared" si="13"/>
        <v>0</v>
      </c>
      <c r="AL105" s="9" t="s">
        <v>38</v>
      </c>
    </row>
    <row r="106" spans="1:38" x14ac:dyDescent="0.35">
      <c r="A106">
        <v>119</v>
      </c>
      <c r="B106" t="s">
        <v>126</v>
      </c>
      <c r="C106" s="9">
        <v>1.81</v>
      </c>
      <c r="D106" s="5">
        <v>22</v>
      </c>
      <c r="E106" t="s">
        <v>60</v>
      </c>
      <c r="F106" t="s">
        <v>52</v>
      </c>
      <c r="G106" s="10" t="s">
        <v>166</v>
      </c>
      <c r="H106">
        <v>0</v>
      </c>
      <c r="I106" s="13">
        <v>0.5</v>
      </c>
      <c r="J106" s="2">
        <v>4</v>
      </c>
      <c r="K106">
        <v>4</v>
      </c>
      <c r="L106" s="2">
        <f t="shared" si="8"/>
        <v>0</v>
      </c>
      <c r="M106">
        <v>5</v>
      </c>
      <c r="N106">
        <v>3</v>
      </c>
      <c r="O106">
        <f t="shared" si="9"/>
        <v>-2</v>
      </c>
      <c r="P106">
        <v>2</v>
      </c>
      <c r="Q106">
        <v>2</v>
      </c>
      <c r="R106">
        <f t="shared" si="10"/>
        <v>0</v>
      </c>
      <c r="S106">
        <v>4</v>
      </c>
      <c r="T106">
        <v>5</v>
      </c>
      <c r="U106">
        <f t="shared" si="11"/>
        <v>1</v>
      </c>
      <c r="V106">
        <v>2</v>
      </c>
      <c r="W106">
        <v>2</v>
      </c>
      <c r="X106">
        <f t="shared" si="12"/>
        <v>0</v>
      </c>
      <c r="Y106" s="2">
        <v>0</v>
      </c>
      <c r="Z106" s="2">
        <v>1</v>
      </c>
      <c r="AA106" s="2">
        <v>0</v>
      </c>
      <c r="AB106">
        <f t="shared" si="7"/>
        <v>1</v>
      </c>
      <c r="AC106" s="2">
        <v>0</v>
      </c>
      <c r="AD106" s="2">
        <v>1</v>
      </c>
      <c r="AE106" s="2">
        <v>0</v>
      </c>
      <c r="AF106" s="2">
        <v>1</v>
      </c>
      <c r="AG106" s="2">
        <v>0</v>
      </c>
      <c r="AH106" s="2">
        <v>0</v>
      </c>
      <c r="AI106" s="2">
        <v>0</v>
      </c>
      <c r="AJ106" s="2">
        <v>1</v>
      </c>
      <c r="AK106">
        <f t="shared" si="13"/>
        <v>0</v>
      </c>
      <c r="AL106" s="9" t="s">
        <v>38</v>
      </c>
    </row>
    <row r="107" spans="1:38" x14ac:dyDescent="0.35">
      <c r="A107">
        <v>120</v>
      </c>
      <c r="B107" t="s">
        <v>15</v>
      </c>
      <c r="C107">
        <v>1.61</v>
      </c>
      <c r="D107" s="2">
        <v>135</v>
      </c>
      <c r="E107" t="s">
        <v>51</v>
      </c>
      <c r="F107" t="s">
        <v>52</v>
      </c>
      <c r="G107" t="s">
        <v>166</v>
      </c>
      <c r="H107">
        <v>0</v>
      </c>
      <c r="I107" s="13">
        <v>0.5</v>
      </c>
      <c r="J107" s="2">
        <v>4</v>
      </c>
      <c r="K107">
        <v>5</v>
      </c>
      <c r="L107" s="2">
        <f t="shared" si="8"/>
        <v>1</v>
      </c>
      <c r="M107">
        <v>8</v>
      </c>
      <c r="N107">
        <v>4</v>
      </c>
      <c r="O107">
        <f t="shared" si="9"/>
        <v>-4</v>
      </c>
      <c r="P107">
        <v>2</v>
      </c>
      <c r="Q107">
        <v>2</v>
      </c>
      <c r="R107">
        <f t="shared" si="10"/>
        <v>0</v>
      </c>
      <c r="S107">
        <v>1</v>
      </c>
      <c r="T107">
        <v>1</v>
      </c>
      <c r="U107">
        <f t="shared" si="11"/>
        <v>0</v>
      </c>
      <c r="V107">
        <v>0</v>
      </c>
      <c r="W107">
        <v>0</v>
      </c>
      <c r="X107">
        <f t="shared" si="12"/>
        <v>0</v>
      </c>
      <c r="Y107" s="2">
        <v>0</v>
      </c>
      <c r="Z107" s="2">
        <v>1</v>
      </c>
      <c r="AA107" s="2">
        <v>0</v>
      </c>
      <c r="AB107">
        <f t="shared" si="7"/>
        <v>1</v>
      </c>
      <c r="AC107" s="2">
        <v>0</v>
      </c>
      <c r="AD107" s="2">
        <v>1</v>
      </c>
      <c r="AE107" s="2">
        <v>0</v>
      </c>
      <c r="AF107" s="2">
        <v>1</v>
      </c>
      <c r="AG107" s="2">
        <v>0</v>
      </c>
      <c r="AH107" s="2">
        <v>0</v>
      </c>
      <c r="AI107" s="2">
        <v>0</v>
      </c>
      <c r="AJ107" s="2">
        <v>0</v>
      </c>
      <c r="AK107">
        <f t="shared" si="13"/>
        <v>0</v>
      </c>
      <c r="AL107" t="s">
        <v>5</v>
      </c>
    </row>
    <row r="108" spans="1:38" x14ac:dyDescent="0.35">
      <c r="A108">
        <v>121</v>
      </c>
      <c r="B108" t="s">
        <v>163</v>
      </c>
      <c r="C108">
        <v>0.44</v>
      </c>
      <c r="D108" s="2">
        <v>5</v>
      </c>
      <c r="E108" t="s">
        <v>161</v>
      </c>
      <c r="F108" t="s">
        <v>54</v>
      </c>
      <c r="G108" t="s">
        <v>165</v>
      </c>
      <c r="H108">
        <v>0</v>
      </c>
      <c r="I108" s="13">
        <v>0.75</v>
      </c>
      <c r="J108" s="2">
        <v>3</v>
      </c>
      <c r="K108">
        <v>3</v>
      </c>
      <c r="L108" s="2">
        <f t="shared" si="8"/>
        <v>0</v>
      </c>
      <c r="M108">
        <v>6</v>
      </c>
      <c r="N108">
        <v>5</v>
      </c>
      <c r="O108">
        <f t="shared" si="9"/>
        <v>-1</v>
      </c>
      <c r="P108">
        <v>2</v>
      </c>
      <c r="Q108">
        <v>2</v>
      </c>
      <c r="R108">
        <f t="shared" si="10"/>
        <v>0</v>
      </c>
      <c r="S108">
        <v>2</v>
      </c>
      <c r="T108">
        <v>2</v>
      </c>
      <c r="U108">
        <f t="shared" si="11"/>
        <v>0</v>
      </c>
      <c r="V108">
        <v>1</v>
      </c>
      <c r="W108">
        <v>1</v>
      </c>
      <c r="X108">
        <f t="shared" si="12"/>
        <v>0</v>
      </c>
      <c r="Y108" s="2">
        <v>0</v>
      </c>
      <c r="Z108" s="2">
        <v>1</v>
      </c>
      <c r="AA108" s="2">
        <v>1</v>
      </c>
      <c r="AB108">
        <f t="shared" si="7"/>
        <v>1</v>
      </c>
      <c r="AC108" s="2">
        <v>1</v>
      </c>
      <c r="AD108" s="2">
        <v>1</v>
      </c>
      <c r="AE108" s="2">
        <v>0</v>
      </c>
      <c r="AF108" s="2">
        <v>1</v>
      </c>
      <c r="AG108" s="2">
        <v>0</v>
      </c>
      <c r="AH108" s="2">
        <v>1</v>
      </c>
      <c r="AI108" s="2">
        <v>1</v>
      </c>
      <c r="AJ108" s="2">
        <v>1</v>
      </c>
      <c r="AK108">
        <f t="shared" si="13"/>
        <v>0</v>
      </c>
      <c r="AL108" t="s">
        <v>5</v>
      </c>
    </row>
    <row r="109" spans="1:38" x14ac:dyDescent="0.35">
      <c r="A109">
        <v>122</v>
      </c>
      <c r="B109" t="s">
        <v>126</v>
      </c>
      <c r="C109" s="9">
        <v>1.81</v>
      </c>
      <c r="D109" s="5">
        <v>15</v>
      </c>
      <c r="E109" t="s">
        <v>60</v>
      </c>
      <c r="F109" t="s">
        <v>52</v>
      </c>
      <c r="G109" t="s">
        <v>165</v>
      </c>
      <c r="H109">
        <v>0</v>
      </c>
      <c r="I109" s="13">
        <v>0.25</v>
      </c>
      <c r="J109" s="2">
        <v>3</v>
      </c>
      <c r="K109">
        <v>3</v>
      </c>
      <c r="L109" s="2">
        <f t="shared" si="8"/>
        <v>0</v>
      </c>
      <c r="M109">
        <v>4</v>
      </c>
      <c r="N109">
        <v>4</v>
      </c>
      <c r="O109">
        <f t="shared" si="9"/>
        <v>0</v>
      </c>
      <c r="P109">
        <v>2</v>
      </c>
      <c r="Q109">
        <v>2</v>
      </c>
      <c r="R109">
        <f t="shared" si="10"/>
        <v>0</v>
      </c>
      <c r="S109">
        <v>2</v>
      </c>
      <c r="T109">
        <v>3</v>
      </c>
      <c r="U109">
        <f t="shared" si="11"/>
        <v>1</v>
      </c>
      <c r="V109">
        <v>1</v>
      </c>
      <c r="W109">
        <v>1</v>
      </c>
      <c r="X109">
        <f t="shared" si="12"/>
        <v>0</v>
      </c>
      <c r="Y109" s="2">
        <v>0</v>
      </c>
      <c r="Z109" s="2">
        <v>1</v>
      </c>
      <c r="AA109" s="2">
        <v>0</v>
      </c>
      <c r="AB109">
        <f t="shared" si="7"/>
        <v>1</v>
      </c>
      <c r="AC109" s="2">
        <v>0</v>
      </c>
      <c r="AD109" s="2">
        <v>0</v>
      </c>
      <c r="AE109" s="2">
        <v>0</v>
      </c>
      <c r="AF109" s="2">
        <v>1</v>
      </c>
      <c r="AG109" s="2">
        <v>0</v>
      </c>
      <c r="AH109" s="2">
        <v>0</v>
      </c>
      <c r="AI109" s="2">
        <v>0</v>
      </c>
      <c r="AJ109" s="2">
        <v>1</v>
      </c>
      <c r="AK109">
        <f t="shared" si="13"/>
        <v>0</v>
      </c>
      <c r="AL109" s="9" t="s">
        <v>38</v>
      </c>
    </row>
    <row r="110" spans="1:38" x14ac:dyDescent="0.35">
      <c r="A110">
        <v>124</v>
      </c>
      <c r="B110" t="s">
        <v>17</v>
      </c>
      <c r="C110">
        <v>-0.04</v>
      </c>
      <c r="D110" s="2">
        <v>60</v>
      </c>
      <c r="E110" t="s">
        <v>159</v>
      </c>
      <c r="F110" t="s">
        <v>52</v>
      </c>
      <c r="G110" t="s">
        <v>165</v>
      </c>
      <c r="H110">
        <v>0</v>
      </c>
      <c r="I110" s="13">
        <v>0.5</v>
      </c>
      <c r="J110" s="2">
        <v>6</v>
      </c>
      <c r="K110">
        <v>8</v>
      </c>
      <c r="L110" s="2">
        <f t="shared" si="8"/>
        <v>2</v>
      </c>
      <c r="M110">
        <v>5</v>
      </c>
      <c r="N110">
        <v>6</v>
      </c>
      <c r="O110">
        <f t="shared" si="9"/>
        <v>1</v>
      </c>
      <c r="P110">
        <v>3</v>
      </c>
      <c r="Q110">
        <v>3</v>
      </c>
      <c r="R110">
        <f t="shared" si="10"/>
        <v>0</v>
      </c>
      <c r="S110">
        <v>2</v>
      </c>
      <c r="T110">
        <v>2</v>
      </c>
      <c r="U110">
        <f t="shared" si="11"/>
        <v>0</v>
      </c>
      <c r="V110">
        <v>2</v>
      </c>
      <c r="W110">
        <v>1</v>
      </c>
      <c r="X110">
        <f t="shared" si="12"/>
        <v>-1</v>
      </c>
      <c r="Y110" s="2">
        <v>1</v>
      </c>
      <c r="Z110" s="2">
        <v>0</v>
      </c>
      <c r="AA110" s="2">
        <v>0</v>
      </c>
      <c r="AB110">
        <f t="shared" si="7"/>
        <v>0</v>
      </c>
      <c r="AC110" s="2">
        <v>0</v>
      </c>
      <c r="AD110" s="2">
        <v>1</v>
      </c>
      <c r="AE110" s="2">
        <v>0</v>
      </c>
      <c r="AF110" s="2">
        <v>1</v>
      </c>
      <c r="AG110" s="2">
        <v>0</v>
      </c>
      <c r="AH110" s="2">
        <v>0</v>
      </c>
      <c r="AI110" s="2">
        <v>1</v>
      </c>
      <c r="AJ110" s="2">
        <v>0</v>
      </c>
      <c r="AK110">
        <f t="shared" si="13"/>
        <v>0</v>
      </c>
      <c r="AL110" s="2" t="s">
        <v>5</v>
      </c>
    </row>
    <row r="111" spans="1:38" x14ac:dyDescent="0.35">
      <c r="A111">
        <v>125</v>
      </c>
      <c r="B111" t="s">
        <v>163</v>
      </c>
      <c r="C111">
        <v>0.44</v>
      </c>
      <c r="D111" s="2">
        <v>6</v>
      </c>
      <c r="E111" t="s">
        <v>161</v>
      </c>
      <c r="F111" t="s">
        <v>52</v>
      </c>
      <c r="G111" t="s">
        <v>166</v>
      </c>
      <c r="H111">
        <v>0</v>
      </c>
      <c r="I111" s="13">
        <v>0.5</v>
      </c>
      <c r="J111" s="2">
        <v>5</v>
      </c>
      <c r="K111">
        <v>5</v>
      </c>
      <c r="L111" s="2">
        <f t="shared" si="8"/>
        <v>0</v>
      </c>
      <c r="M111">
        <v>7</v>
      </c>
      <c r="N111">
        <v>6</v>
      </c>
      <c r="O111">
        <f t="shared" si="9"/>
        <v>-1</v>
      </c>
      <c r="P111">
        <v>1</v>
      </c>
      <c r="Q111">
        <v>1</v>
      </c>
      <c r="R111">
        <f t="shared" si="10"/>
        <v>0</v>
      </c>
      <c r="S111">
        <v>3</v>
      </c>
      <c r="T111">
        <v>3</v>
      </c>
      <c r="U111">
        <f t="shared" si="11"/>
        <v>0</v>
      </c>
      <c r="V111">
        <v>1</v>
      </c>
      <c r="W111">
        <v>1</v>
      </c>
      <c r="X111">
        <f t="shared" si="12"/>
        <v>0</v>
      </c>
      <c r="Y111" s="2">
        <v>0</v>
      </c>
      <c r="Z111" s="2">
        <v>1</v>
      </c>
      <c r="AA111" s="2">
        <v>0</v>
      </c>
      <c r="AB111">
        <f t="shared" si="7"/>
        <v>1</v>
      </c>
      <c r="AC111" s="2">
        <v>0</v>
      </c>
      <c r="AD111" s="2">
        <v>1</v>
      </c>
      <c r="AE111" s="2">
        <v>0</v>
      </c>
      <c r="AF111" s="2">
        <v>1</v>
      </c>
      <c r="AG111" s="2">
        <v>0</v>
      </c>
      <c r="AH111" s="2">
        <v>0</v>
      </c>
      <c r="AI111" s="2">
        <v>1</v>
      </c>
      <c r="AJ111" s="2">
        <v>0</v>
      </c>
      <c r="AK111">
        <f t="shared" si="13"/>
        <v>0</v>
      </c>
      <c r="AL111" t="s">
        <v>135</v>
      </c>
    </row>
    <row r="112" spans="1:38" x14ac:dyDescent="0.35">
      <c r="A112">
        <v>126</v>
      </c>
      <c r="B112" t="s">
        <v>126</v>
      </c>
      <c r="C112" s="9">
        <v>1.81</v>
      </c>
      <c r="D112" s="2">
        <v>18</v>
      </c>
      <c r="E112" t="s">
        <v>60</v>
      </c>
      <c r="F112" t="s">
        <v>54</v>
      </c>
      <c r="G112" t="s">
        <v>165</v>
      </c>
      <c r="H112">
        <v>0</v>
      </c>
      <c r="I112" s="13">
        <v>0.75</v>
      </c>
      <c r="J112" s="2">
        <v>3</v>
      </c>
      <c r="K112">
        <v>3</v>
      </c>
      <c r="L112" s="2">
        <f t="shared" si="8"/>
        <v>0</v>
      </c>
      <c r="M112">
        <v>2</v>
      </c>
      <c r="N112">
        <v>2</v>
      </c>
      <c r="O112">
        <f t="shared" si="9"/>
        <v>0</v>
      </c>
      <c r="P112">
        <v>2</v>
      </c>
      <c r="Q112">
        <v>2</v>
      </c>
      <c r="R112">
        <f t="shared" si="10"/>
        <v>0</v>
      </c>
      <c r="S112">
        <v>4</v>
      </c>
      <c r="T112">
        <v>2</v>
      </c>
      <c r="U112">
        <f t="shared" si="11"/>
        <v>-2</v>
      </c>
      <c r="V112">
        <v>1</v>
      </c>
      <c r="W112">
        <v>1</v>
      </c>
      <c r="X112">
        <f t="shared" si="12"/>
        <v>0</v>
      </c>
      <c r="Y112" s="2">
        <v>0</v>
      </c>
      <c r="Z112" s="2">
        <v>0</v>
      </c>
      <c r="AA112" s="2">
        <v>0</v>
      </c>
      <c r="AB112">
        <f t="shared" si="7"/>
        <v>0</v>
      </c>
      <c r="AC112" s="2">
        <v>0</v>
      </c>
      <c r="AD112" s="2">
        <v>0</v>
      </c>
      <c r="AE112" s="2">
        <v>0</v>
      </c>
      <c r="AF112" s="2">
        <v>1</v>
      </c>
      <c r="AG112" s="2">
        <v>0</v>
      </c>
      <c r="AH112" s="2">
        <v>0</v>
      </c>
      <c r="AI112" s="2">
        <v>0</v>
      </c>
      <c r="AJ112" s="2">
        <v>1</v>
      </c>
      <c r="AK112">
        <f t="shared" si="13"/>
        <v>0</v>
      </c>
      <c r="AL112" t="s">
        <v>42</v>
      </c>
    </row>
    <row r="113" spans="1:38" x14ac:dyDescent="0.35">
      <c r="A113">
        <v>127</v>
      </c>
      <c r="B113" t="s">
        <v>15</v>
      </c>
      <c r="C113">
        <v>1.61</v>
      </c>
      <c r="D113" s="2">
        <v>116</v>
      </c>
      <c r="E113" t="s">
        <v>51</v>
      </c>
      <c r="F113" t="s">
        <v>54</v>
      </c>
      <c r="G113" t="s">
        <v>165</v>
      </c>
      <c r="H113">
        <v>0</v>
      </c>
      <c r="I113" s="13">
        <v>0</v>
      </c>
      <c r="J113" s="2">
        <v>5</v>
      </c>
      <c r="K113">
        <v>6</v>
      </c>
      <c r="L113" s="2">
        <f t="shared" si="8"/>
        <v>1</v>
      </c>
      <c r="M113">
        <v>10</v>
      </c>
      <c r="N113">
        <v>10</v>
      </c>
      <c r="O113">
        <f t="shared" si="9"/>
        <v>0</v>
      </c>
      <c r="P113">
        <v>3</v>
      </c>
      <c r="Q113">
        <v>3</v>
      </c>
      <c r="R113">
        <f t="shared" si="10"/>
        <v>0</v>
      </c>
      <c r="S113">
        <v>1</v>
      </c>
      <c r="T113">
        <v>1</v>
      </c>
      <c r="U113">
        <f t="shared" si="11"/>
        <v>0</v>
      </c>
      <c r="V113">
        <v>0</v>
      </c>
      <c r="W113">
        <v>0</v>
      </c>
      <c r="X113">
        <f t="shared" si="12"/>
        <v>0</v>
      </c>
      <c r="Y113" s="2">
        <v>0</v>
      </c>
      <c r="Z113" s="2">
        <v>0</v>
      </c>
      <c r="AA113" s="2">
        <v>0</v>
      </c>
      <c r="AB113">
        <f t="shared" si="7"/>
        <v>0</v>
      </c>
      <c r="AC113" s="2">
        <v>0</v>
      </c>
      <c r="AD113" s="2">
        <v>0</v>
      </c>
      <c r="AE113" s="2">
        <v>0</v>
      </c>
      <c r="AF113" s="2">
        <v>0</v>
      </c>
      <c r="AG113" s="2">
        <v>0</v>
      </c>
      <c r="AH113" s="2">
        <v>0</v>
      </c>
      <c r="AI113" s="2">
        <v>0</v>
      </c>
      <c r="AJ113" s="2">
        <v>0</v>
      </c>
      <c r="AK113">
        <f t="shared" si="13"/>
        <v>1</v>
      </c>
      <c r="AL113" t="s">
        <v>139</v>
      </c>
    </row>
    <row r="114" spans="1:38" x14ac:dyDescent="0.35">
      <c r="A114">
        <v>128</v>
      </c>
      <c r="B114" t="s">
        <v>15</v>
      </c>
      <c r="C114">
        <v>1.61</v>
      </c>
      <c r="D114" s="2">
        <v>9</v>
      </c>
      <c r="E114" t="s">
        <v>51</v>
      </c>
      <c r="F114" t="s">
        <v>55</v>
      </c>
      <c r="G114" t="s">
        <v>166</v>
      </c>
      <c r="H114">
        <v>1</v>
      </c>
      <c r="I114" s="13">
        <v>1</v>
      </c>
      <c r="J114" s="2">
        <v>5</v>
      </c>
      <c r="K114">
        <v>5</v>
      </c>
      <c r="L114" s="2">
        <f t="shared" si="8"/>
        <v>0</v>
      </c>
      <c r="M114">
        <v>10</v>
      </c>
      <c r="N114">
        <v>1</v>
      </c>
      <c r="O114">
        <f t="shared" si="9"/>
        <v>-9</v>
      </c>
      <c r="P114">
        <v>2</v>
      </c>
      <c r="Q114">
        <v>2</v>
      </c>
      <c r="R114">
        <f t="shared" si="10"/>
        <v>0</v>
      </c>
      <c r="S114">
        <v>3</v>
      </c>
      <c r="T114">
        <v>2</v>
      </c>
      <c r="U114">
        <f t="shared" si="11"/>
        <v>-1</v>
      </c>
      <c r="V114">
        <v>2</v>
      </c>
      <c r="W114">
        <v>2</v>
      </c>
      <c r="X114">
        <f t="shared" si="12"/>
        <v>0</v>
      </c>
      <c r="Y114" s="2">
        <v>0</v>
      </c>
      <c r="Z114" s="2">
        <v>1</v>
      </c>
      <c r="AA114" s="2">
        <v>0</v>
      </c>
      <c r="AB114">
        <f t="shared" si="7"/>
        <v>1</v>
      </c>
      <c r="AC114" s="2">
        <v>0</v>
      </c>
      <c r="AD114" s="2">
        <v>0</v>
      </c>
      <c r="AE114" s="2">
        <v>1</v>
      </c>
      <c r="AF114" s="2">
        <v>0</v>
      </c>
      <c r="AG114" s="2">
        <v>0</v>
      </c>
      <c r="AH114" s="2">
        <v>0</v>
      </c>
      <c r="AI114" s="2">
        <v>1</v>
      </c>
      <c r="AJ114" s="2">
        <v>1</v>
      </c>
      <c r="AK114">
        <f t="shared" si="13"/>
        <v>0</v>
      </c>
      <c r="AL114" t="s">
        <v>37</v>
      </c>
    </row>
    <row r="115" spans="1:38" x14ac:dyDescent="0.35">
      <c r="A115">
        <v>129</v>
      </c>
      <c r="B115" t="s">
        <v>17</v>
      </c>
      <c r="C115">
        <v>-0.04</v>
      </c>
      <c r="D115" s="2">
        <v>40</v>
      </c>
      <c r="E115" t="s">
        <v>61</v>
      </c>
      <c r="F115" t="s">
        <v>54</v>
      </c>
      <c r="G115" t="s">
        <v>165</v>
      </c>
      <c r="H115">
        <v>0</v>
      </c>
      <c r="I115" s="13">
        <v>0.25</v>
      </c>
      <c r="J115" s="2">
        <v>3</v>
      </c>
      <c r="K115">
        <v>5</v>
      </c>
      <c r="L115" s="2">
        <f t="shared" si="8"/>
        <v>2</v>
      </c>
      <c r="M115">
        <v>2</v>
      </c>
      <c r="N115">
        <v>2</v>
      </c>
      <c r="O115">
        <f t="shared" si="9"/>
        <v>0</v>
      </c>
      <c r="P115">
        <v>2</v>
      </c>
      <c r="Q115">
        <v>2</v>
      </c>
      <c r="R115">
        <f t="shared" si="10"/>
        <v>0</v>
      </c>
      <c r="S115">
        <v>1</v>
      </c>
      <c r="T115">
        <v>1</v>
      </c>
      <c r="U115">
        <f t="shared" si="11"/>
        <v>0</v>
      </c>
      <c r="V115">
        <v>2</v>
      </c>
      <c r="W115">
        <v>2</v>
      </c>
      <c r="X115">
        <f t="shared" si="12"/>
        <v>0</v>
      </c>
      <c r="Y115" s="2">
        <v>0</v>
      </c>
      <c r="Z115" s="2">
        <v>1</v>
      </c>
      <c r="AA115" s="2">
        <v>0</v>
      </c>
      <c r="AB115">
        <f t="shared" si="7"/>
        <v>1</v>
      </c>
      <c r="AC115" s="2">
        <v>1</v>
      </c>
      <c r="AD115" s="2">
        <v>1</v>
      </c>
      <c r="AE115" s="2">
        <v>0</v>
      </c>
      <c r="AF115" s="2">
        <v>1</v>
      </c>
      <c r="AG115" s="2">
        <v>0</v>
      </c>
      <c r="AH115" s="2">
        <v>1</v>
      </c>
      <c r="AI115" s="2">
        <v>1</v>
      </c>
      <c r="AJ115" s="2">
        <v>0</v>
      </c>
      <c r="AK115">
        <f t="shared" si="13"/>
        <v>0</v>
      </c>
      <c r="AL115" t="s">
        <v>135</v>
      </c>
    </row>
    <row r="116" spans="1:38" x14ac:dyDescent="0.35">
      <c r="A116">
        <v>130</v>
      </c>
      <c r="B116" t="s">
        <v>17</v>
      </c>
      <c r="C116">
        <v>-0.04</v>
      </c>
      <c r="D116" s="2">
        <v>103</v>
      </c>
      <c r="E116" t="s">
        <v>61</v>
      </c>
      <c r="F116" t="s">
        <v>52</v>
      </c>
      <c r="G116" t="s">
        <v>165</v>
      </c>
      <c r="H116">
        <v>0</v>
      </c>
      <c r="I116" s="13">
        <v>0.25</v>
      </c>
      <c r="J116" s="2">
        <v>11</v>
      </c>
      <c r="K116">
        <v>10</v>
      </c>
      <c r="L116" s="2">
        <f t="shared" si="8"/>
        <v>-1</v>
      </c>
      <c r="M116">
        <v>7</v>
      </c>
      <c r="N116">
        <v>7</v>
      </c>
      <c r="O116">
        <f t="shared" si="9"/>
        <v>0</v>
      </c>
      <c r="P116">
        <v>3</v>
      </c>
      <c r="Q116">
        <v>3</v>
      </c>
      <c r="R116">
        <f t="shared" si="10"/>
        <v>0</v>
      </c>
      <c r="S116">
        <v>2</v>
      </c>
      <c r="T116">
        <v>2</v>
      </c>
      <c r="U116">
        <f t="shared" si="11"/>
        <v>0</v>
      </c>
      <c r="V116">
        <v>2</v>
      </c>
      <c r="W116">
        <v>2</v>
      </c>
      <c r="X116">
        <f t="shared" si="12"/>
        <v>0</v>
      </c>
      <c r="Y116" s="2">
        <v>0</v>
      </c>
      <c r="Z116" s="2">
        <v>1</v>
      </c>
      <c r="AA116" s="2">
        <v>0</v>
      </c>
      <c r="AB116">
        <f t="shared" si="7"/>
        <v>1</v>
      </c>
      <c r="AC116" s="2">
        <v>0</v>
      </c>
      <c r="AD116" s="2">
        <v>1</v>
      </c>
      <c r="AE116" s="2">
        <v>0</v>
      </c>
      <c r="AF116" s="2">
        <v>1</v>
      </c>
      <c r="AG116" s="2">
        <v>0</v>
      </c>
      <c r="AH116" s="2">
        <v>1</v>
      </c>
      <c r="AI116" s="2">
        <v>1</v>
      </c>
      <c r="AJ116" s="2">
        <v>1</v>
      </c>
      <c r="AK116">
        <f t="shared" si="13"/>
        <v>0</v>
      </c>
      <c r="AL116" t="s">
        <v>5</v>
      </c>
    </row>
    <row r="117" spans="1:38" x14ac:dyDescent="0.35">
      <c r="A117">
        <v>131</v>
      </c>
      <c r="B117" t="s">
        <v>164</v>
      </c>
      <c r="C117">
        <v>1.47</v>
      </c>
      <c r="D117" s="2">
        <v>13</v>
      </c>
      <c r="E117" t="s">
        <v>161</v>
      </c>
      <c r="F117" t="s">
        <v>52</v>
      </c>
      <c r="G117" t="s">
        <v>165</v>
      </c>
      <c r="H117">
        <v>0</v>
      </c>
      <c r="I117" s="13">
        <v>0</v>
      </c>
      <c r="J117" s="2">
        <v>3</v>
      </c>
      <c r="K117">
        <v>3</v>
      </c>
      <c r="L117" s="2">
        <f t="shared" si="8"/>
        <v>0</v>
      </c>
      <c r="M117">
        <v>5</v>
      </c>
      <c r="N117">
        <v>5</v>
      </c>
      <c r="O117">
        <f t="shared" si="9"/>
        <v>0</v>
      </c>
      <c r="P117">
        <v>1</v>
      </c>
      <c r="Q117">
        <v>1</v>
      </c>
      <c r="R117">
        <f t="shared" si="10"/>
        <v>0</v>
      </c>
      <c r="S117">
        <v>1</v>
      </c>
      <c r="T117">
        <v>1</v>
      </c>
      <c r="U117">
        <f t="shared" si="11"/>
        <v>0</v>
      </c>
      <c r="V117">
        <v>0</v>
      </c>
      <c r="W117">
        <v>0</v>
      </c>
      <c r="X117">
        <f t="shared" si="12"/>
        <v>0</v>
      </c>
      <c r="Y117" s="2">
        <v>0</v>
      </c>
      <c r="Z117" s="2">
        <v>0</v>
      </c>
      <c r="AA117" s="2">
        <v>0</v>
      </c>
      <c r="AB117">
        <f t="shared" ref="AB117:AB174" si="14">IF(Z117+AA117&gt;0,1,0)</f>
        <v>0</v>
      </c>
      <c r="AC117" s="2">
        <v>0</v>
      </c>
      <c r="AD117" s="2">
        <v>0</v>
      </c>
      <c r="AE117" s="2">
        <v>0</v>
      </c>
      <c r="AF117" s="2">
        <v>0</v>
      </c>
      <c r="AG117" s="2">
        <v>0</v>
      </c>
      <c r="AH117" s="2">
        <v>0</v>
      </c>
      <c r="AI117" s="2">
        <v>0</v>
      </c>
      <c r="AJ117" s="2">
        <v>0</v>
      </c>
      <c r="AK117">
        <f t="shared" si="13"/>
        <v>1</v>
      </c>
      <c r="AL117" t="s">
        <v>139</v>
      </c>
    </row>
    <row r="118" spans="1:38" x14ac:dyDescent="0.35">
      <c r="A118">
        <v>132</v>
      </c>
      <c r="B118" t="s">
        <v>15</v>
      </c>
      <c r="C118">
        <v>1.61</v>
      </c>
      <c r="D118" s="2">
        <v>7</v>
      </c>
      <c r="E118" t="s">
        <v>51</v>
      </c>
      <c r="F118" t="s">
        <v>54</v>
      </c>
      <c r="G118" t="s">
        <v>166</v>
      </c>
      <c r="H118">
        <v>1</v>
      </c>
      <c r="I118" s="13">
        <v>1</v>
      </c>
      <c r="J118" s="2">
        <v>10</v>
      </c>
      <c r="K118">
        <v>10</v>
      </c>
      <c r="L118" s="2">
        <f t="shared" si="8"/>
        <v>0</v>
      </c>
      <c r="M118">
        <v>8</v>
      </c>
      <c r="N118">
        <v>2</v>
      </c>
      <c r="O118">
        <f t="shared" si="9"/>
        <v>-6</v>
      </c>
      <c r="P118">
        <v>3</v>
      </c>
      <c r="Q118">
        <v>3</v>
      </c>
      <c r="R118">
        <f t="shared" si="10"/>
        <v>0</v>
      </c>
      <c r="S118">
        <v>1</v>
      </c>
      <c r="T118">
        <v>3</v>
      </c>
      <c r="U118">
        <f t="shared" si="11"/>
        <v>2</v>
      </c>
      <c r="V118">
        <v>1</v>
      </c>
      <c r="W118">
        <v>2</v>
      </c>
      <c r="X118">
        <f t="shared" si="12"/>
        <v>1</v>
      </c>
      <c r="Y118" s="2">
        <v>0</v>
      </c>
      <c r="Z118" s="2">
        <v>1</v>
      </c>
      <c r="AA118" s="2">
        <v>0</v>
      </c>
      <c r="AB118">
        <f t="shared" si="14"/>
        <v>1</v>
      </c>
      <c r="AC118" s="2">
        <v>0</v>
      </c>
      <c r="AD118" s="2">
        <v>1</v>
      </c>
      <c r="AE118" s="2">
        <v>0</v>
      </c>
      <c r="AF118" s="2">
        <v>1</v>
      </c>
      <c r="AG118" s="2">
        <v>1</v>
      </c>
      <c r="AH118" s="2">
        <v>1</v>
      </c>
      <c r="AI118" s="2">
        <v>0</v>
      </c>
      <c r="AJ118" s="2">
        <v>0</v>
      </c>
      <c r="AK118">
        <f t="shared" si="13"/>
        <v>0</v>
      </c>
      <c r="AL118" t="s">
        <v>5</v>
      </c>
    </row>
    <row r="119" spans="1:38" x14ac:dyDescent="0.35">
      <c r="A119">
        <v>133</v>
      </c>
      <c r="B119" t="s">
        <v>17</v>
      </c>
      <c r="C119">
        <v>-0.04</v>
      </c>
      <c r="D119" s="5">
        <v>40</v>
      </c>
      <c r="E119" t="s">
        <v>159</v>
      </c>
      <c r="F119" t="s">
        <v>55</v>
      </c>
      <c r="G119" t="s">
        <v>165</v>
      </c>
      <c r="H119">
        <v>0</v>
      </c>
      <c r="I119" s="13">
        <v>0</v>
      </c>
      <c r="J119" s="2">
        <v>3</v>
      </c>
      <c r="K119">
        <v>3</v>
      </c>
      <c r="L119" s="2">
        <f t="shared" si="8"/>
        <v>0</v>
      </c>
      <c r="M119">
        <v>8</v>
      </c>
      <c r="N119">
        <v>8</v>
      </c>
      <c r="O119">
        <f t="shared" si="9"/>
        <v>0</v>
      </c>
      <c r="P119">
        <v>3</v>
      </c>
      <c r="Q119">
        <v>3</v>
      </c>
      <c r="R119">
        <f t="shared" si="10"/>
        <v>0</v>
      </c>
      <c r="S119">
        <v>1</v>
      </c>
      <c r="T119">
        <v>1</v>
      </c>
      <c r="U119">
        <f t="shared" si="11"/>
        <v>0</v>
      </c>
      <c r="V119">
        <v>-1</v>
      </c>
      <c r="W119">
        <v>-1</v>
      </c>
      <c r="X119">
        <f t="shared" si="12"/>
        <v>0</v>
      </c>
      <c r="Y119" s="2">
        <v>0</v>
      </c>
      <c r="Z119" s="2">
        <v>0</v>
      </c>
      <c r="AA119" s="2">
        <v>0</v>
      </c>
      <c r="AB119">
        <f t="shared" si="14"/>
        <v>0</v>
      </c>
      <c r="AC119" s="2">
        <v>0</v>
      </c>
      <c r="AD119" s="2">
        <v>0</v>
      </c>
      <c r="AE119" s="2">
        <v>0</v>
      </c>
      <c r="AF119" s="2">
        <v>1</v>
      </c>
      <c r="AG119" s="2">
        <v>0</v>
      </c>
      <c r="AH119" s="2">
        <v>0</v>
      </c>
      <c r="AI119" s="2">
        <v>0</v>
      </c>
      <c r="AJ119" s="2">
        <v>0</v>
      </c>
      <c r="AK119">
        <f t="shared" si="13"/>
        <v>0</v>
      </c>
      <c r="AL119" s="9" t="s">
        <v>38</v>
      </c>
    </row>
    <row r="120" spans="1:38" x14ac:dyDescent="0.35">
      <c r="A120">
        <v>134</v>
      </c>
      <c r="B120" t="s">
        <v>17</v>
      </c>
      <c r="C120">
        <v>-0.04</v>
      </c>
      <c r="D120" s="2">
        <v>101</v>
      </c>
      <c r="E120" t="s">
        <v>161</v>
      </c>
      <c r="F120" t="s">
        <v>54</v>
      </c>
      <c r="G120" t="s">
        <v>165</v>
      </c>
      <c r="H120">
        <v>0</v>
      </c>
      <c r="I120" s="13">
        <v>0.25</v>
      </c>
      <c r="J120" s="2">
        <v>2</v>
      </c>
      <c r="K120">
        <v>2</v>
      </c>
      <c r="L120" s="2">
        <f t="shared" si="8"/>
        <v>0</v>
      </c>
      <c r="M120">
        <v>7</v>
      </c>
      <c r="N120">
        <v>6</v>
      </c>
      <c r="O120">
        <f t="shared" si="9"/>
        <v>-1</v>
      </c>
      <c r="P120">
        <v>1</v>
      </c>
      <c r="Q120">
        <v>1</v>
      </c>
      <c r="R120">
        <f t="shared" si="10"/>
        <v>0</v>
      </c>
      <c r="S120">
        <v>1</v>
      </c>
      <c r="T120">
        <v>1</v>
      </c>
      <c r="U120">
        <f t="shared" si="11"/>
        <v>0</v>
      </c>
      <c r="V120">
        <v>2</v>
      </c>
      <c r="W120">
        <v>2</v>
      </c>
      <c r="X120">
        <f t="shared" si="12"/>
        <v>0</v>
      </c>
      <c r="Y120" s="2">
        <v>0</v>
      </c>
      <c r="Z120" s="2">
        <v>0</v>
      </c>
      <c r="AA120" s="2">
        <v>0</v>
      </c>
      <c r="AB120">
        <f t="shared" si="14"/>
        <v>0</v>
      </c>
      <c r="AC120" s="2">
        <v>0</v>
      </c>
      <c r="AD120" s="2">
        <v>0</v>
      </c>
      <c r="AE120" s="2">
        <v>0</v>
      </c>
      <c r="AF120" s="2">
        <v>0</v>
      </c>
      <c r="AG120" s="2">
        <v>0</v>
      </c>
      <c r="AH120" s="2">
        <v>0</v>
      </c>
      <c r="AI120" s="2">
        <v>0</v>
      </c>
      <c r="AJ120" s="2">
        <v>0</v>
      </c>
      <c r="AK120">
        <f t="shared" si="13"/>
        <v>1</v>
      </c>
      <c r="AL120" t="s">
        <v>139</v>
      </c>
    </row>
    <row r="121" spans="1:38" x14ac:dyDescent="0.35">
      <c r="A121">
        <v>135</v>
      </c>
      <c r="B121" t="s">
        <v>17</v>
      </c>
      <c r="C121">
        <v>-0.04</v>
      </c>
      <c r="D121" s="2">
        <v>100</v>
      </c>
      <c r="E121" t="s">
        <v>159</v>
      </c>
      <c r="F121" t="s">
        <v>58</v>
      </c>
      <c r="G121" t="s">
        <v>166</v>
      </c>
      <c r="H121">
        <v>0</v>
      </c>
      <c r="I121" s="13">
        <v>0.5</v>
      </c>
      <c r="J121" s="2">
        <v>2</v>
      </c>
      <c r="K121">
        <v>3</v>
      </c>
      <c r="L121" s="2">
        <f t="shared" si="8"/>
        <v>1</v>
      </c>
      <c r="M121">
        <v>8</v>
      </c>
      <c r="N121">
        <v>8</v>
      </c>
      <c r="O121">
        <f t="shared" si="9"/>
        <v>0</v>
      </c>
      <c r="P121">
        <v>3</v>
      </c>
      <c r="Q121">
        <v>3</v>
      </c>
      <c r="R121">
        <f t="shared" si="10"/>
        <v>0</v>
      </c>
      <c r="S121">
        <v>1</v>
      </c>
      <c r="T121">
        <v>2</v>
      </c>
      <c r="U121">
        <f t="shared" si="11"/>
        <v>1</v>
      </c>
      <c r="V121">
        <v>1</v>
      </c>
      <c r="W121">
        <v>2</v>
      </c>
      <c r="X121">
        <f t="shared" si="12"/>
        <v>1</v>
      </c>
      <c r="Y121" s="2">
        <v>0</v>
      </c>
      <c r="Z121" s="2">
        <v>1</v>
      </c>
      <c r="AA121" s="2">
        <v>0</v>
      </c>
      <c r="AB121">
        <f t="shared" si="14"/>
        <v>1</v>
      </c>
      <c r="AC121" s="2">
        <v>0</v>
      </c>
      <c r="AD121" s="2">
        <v>1</v>
      </c>
      <c r="AE121" s="2">
        <v>0</v>
      </c>
      <c r="AF121" s="2">
        <v>1</v>
      </c>
      <c r="AG121" s="2">
        <v>0</v>
      </c>
      <c r="AH121" s="2">
        <v>0</v>
      </c>
      <c r="AI121" s="2">
        <v>0</v>
      </c>
      <c r="AJ121" s="2">
        <v>0</v>
      </c>
      <c r="AK121">
        <f t="shared" si="13"/>
        <v>0</v>
      </c>
      <c r="AL121" t="s">
        <v>135</v>
      </c>
    </row>
    <row r="122" spans="1:38" x14ac:dyDescent="0.35">
      <c r="A122">
        <v>136</v>
      </c>
      <c r="B122" t="s">
        <v>17</v>
      </c>
      <c r="C122">
        <v>-0.04</v>
      </c>
      <c r="D122" s="2">
        <v>40</v>
      </c>
      <c r="E122" t="s">
        <v>159</v>
      </c>
      <c r="F122" t="s">
        <v>52</v>
      </c>
      <c r="G122" t="s">
        <v>166</v>
      </c>
      <c r="H122">
        <v>0</v>
      </c>
      <c r="I122" s="13">
        <v>0.75</v>
      </c>
      <c r="J122" s="2">
        <v>3</v>
      </c>
      <c r="K122">
        <v>3</v>
      </c>
      <c r="L122" s="2">
        <f t="shared" si="8"/>
        <v>0</v>
      </c>
      <c r="M122">
        <v>10</v>
      </c>
      <c r="N122">
        <v>8</v>
      </c>
      <c r="O122">
        <f t="shared" si="9"/>
        <v>-2</v>
      </c>
      <c r="P122">
        <v>3</v>
      </c>
      <c r="Q122">
        <v>3</v>
      </c>
      <c r="R122">
        <f t="shared" si="10"/>
        <v>0</v>
      </c>
      <c r="S122">
        <v>3</v>
      </c>
      <c r="T122">
        <v>4</v>
      </c>
      <c r="U122">
        <f t="shared" si="11"/>
        <v>1</v>
      </c>
      <c r="V122">
        <v>1</v>
      </c>
      <c r="W122">
        <v>1</v>
      </c>
      <c r="X122">
        <f t="shared" si="12"/>
        <v>0</v>
      </c>
      <c r="Y122" s="2">
        <v>0</v>
      </c>
      <c r="Z122" s="2">
        <v>0</v>
      </c>
      <c r="AA122" s="2">
        <v>0</v>
      </c>
      <c r="AB122">
        <f t="shared" si="14"/>
        <v>0</v>
      </c>
      <c r="AC122" s="2">
        <v>0</v>
      </c>
      <c r="AD122" s="2">
        <v>1</v>
      </c>
      <c r="AE122" s="2">
        <v>0</v>
      </c>
      <c r="AF122" s="2">
        <v>1</v>
      </c>
      <c r="AG122" s="2">
        <v>0</v>
      </c>
      <c r="AH122" s="2">
        <v>0</v>
      </c>
      <c r="AI122" s="2">
        <v>1</v>
      </c>
      <c r="AJ122" s="2">
        <v>0</v>
      </c>
      <c r="AK122">
        <f t="shared" si="13"/>
        <v>0</v>
      </c>
      <c r="AL122" t="s">
        <v>5</v>
      </c>
    </row>
    <row r="123" spans="1:38" x14ac:dyDescent="0.35">
      <c r="A123">
        <v>137</v>
      </c>
      <c r="B123" t="s">
        <v>17</v>
      </c>
      <c r="C123">
        <v>-0.04</v>
      </c>
      <c r="D123" s="2">
        <v>101</v>
      </c>
      <c r="E123" t="s">
        <v>159</v>
      </c>
      <c r="F123" t="s">
        <v>52</v>
      </c>
      <c r="G123" t="s">
        <v>166</v>
      </c>
      <c r="H123">
        <v>0</v>
      </c>
      <c r="I123" s="13">
        <v>1</v>
      </c>
      <c r="J123" s="2">
        <v>2</v>
      </c>
      <c r="K123">
        <v>2</v>
      </c>
      <c r="L123" s="2">
        <f t="shared" si="8"/>
        <v>0</v>
      </c>
      <c r="M123">
        <v>5</v>
      </c>
      <c r="N123">
        <v>4</v>
      </c>
      <c r="O123">
        <f t="shared" si="9"/>
        <v>-1</v>
      </c>
      <c r="P123">
        <v>3</v>
      </c>
      <c r="Q123">
        <v>3</v>
      </c>
      <c r="R123">
        <f t="shared" si="10"/>
        <v>0</v>
      </c>
      <c r="S123">
        <v>3</v>
      </c>
      <c r="T123">
        <v>3</v>
      </c>
      <c r="U123">
        <f t="shared" si="11"/>
        <v>0</v>
      </c>
      <c r="V123">
        <v>1</v>
      </c>
      <c r="W123">
        <v>1</v>
      </c>
      <c r="X123">
        <f t="shared" si="12"/>
        <v>0</v>
      </c>
      <c r="Y123" s="2">
        <v>0</v>
      </c>
      <c r="Z123" s="2">
        <v>1</v>
      </c>
      <c r="AA123" s="2">
        <v>0</v>
      </c>
      <c r="AB123">
        <f t="shared" si="14"/>
        <v>1</v>
      </c>
      <c r="AC123" s="2">
        <v>1</v>
      </c>
      <c r="AD123" s="2">
        <v>1</v>
      </c>
      <c r="AE123" s="2">
        <v>0</v>
      </c>
      <c r="AF123" s="2">
        <v>1</v>
      </c>
      <c r="AG123" s="2">
        <v>0</v>
      </c>
      <c r="AH123" s="2">
        <v>0</v>
      </c>
      <c r="AI123" s="2">
        <v>1</v>
      </c>
      <c r="AJ123" s="2">
        <v>1</v>
      </c>
      <c r="AK123">
        <f t="shared" si="13"/>
        <v>0</v>
      </c>
      <c r="AL123" t="s">
        <v>135</v>
      </c>
    </row>
    <row r="124" spans="1:38" x14ac:dyDescent="0.35">
      <c r="A124">
        <v>138</v>
      </c>
      <c r="B124" t="s">
        <v>17</v>
      </c>
      <c r="C124">
        <v>-0.04</v>
      </c>
      <c r="D124" s="2">
        <v>96</v>
      </c>
      <c r="E124" t="s">
        <v>159</v>
      </c>
      <c r="F124" t="s">
        <v>54</v>
      </c>
      <c r="G124" t="s">
        <v>165</v>
      </c>
      <c r="H124">
        <v>0</v>
      </c>
      <c r="I124" s="13">
        <v>0</v>
      </c>
      <c r="J124" s="2">
        <v>4</v>
      </c>
      <c r="K124">
        <v>4</v>
      </c>
      <c r="L124" s="2">
        <f t="shared" si="8"/>
        <v>0</v>
      </c>
      <c r="M124">
        <v>6</v>
      </c>
      <c r="N124">
        <v>6</v>
      </c>
      <c r="O124">
        <f t="shared" si="9"/>
        <v>0</v>
      </c>
      <c r="P124">
        <v>1</v>
      </c>
      <c r="Q124">
        <v>1</v>
      </c>
      <c r="R124">
        <f t="shared" si="10"/>
        <v>0</v>
      </c>
      <c r="S124">
        <v>1</v>
      </c>
      <c r="T124">
        <v>1</v>
      </c>
      <c r="U124">
        <f t="shared" si="11"/>
        <v>0</v>
      </c>
      <c r="V124">
        <v>0</v>
      </c>
      <c r="W124">
        <v>1</v>
      </c>
      <c r="X124">
        <f t="shared" si="12"/>
        <v>1</v>
      </c>
      <c r="Y124" s="2">
        <v>0</v>
      </c>
      <c r="Z124" s="2">
        <v>0</v>
      </c>
      <c r="AA124" s="2">
        <v>0</v>
      </c>
      <c r="AB124">
        <f t="shared" si="14"/>
        <v>0</v>
      </c>
      <c r="AC124" s="2">
        <v>0</v>
      </c>
      <c r="AD124" s="2">
        <v>0</v>
      </c>
      <c r="AE124" s="2">
        <v>0</v>
      </c>
      <c r="AF124" s="2">
        <v>0</v>
      </c>
      <c r="AG124" s="2">
        <v>0</v>
      </c>
      <c r="AH124" s="2">
        <v>0</v>
      </c>
      <c r="AI124" s="2">
        <v>0</v>
      </c>
      <c r="AJ124" s="2">
        <v>0</v>
      </c>
      <c r="AK124">
        <f t="shared" si="13"/>
        <v>1</v>
      </c>
      <c r="AL124" t="s">
        <v>139</v>
      </c>
    </row>
    <row r="125" spans="1:38" x14ac:dyDescent="0.35">
      <c r="A125">
        <v>139</v>
      </c>
      <c r="B125" t="s">
        <v>15</v>
      </c>
      <c r="C125">
        <v>1.61</v>
      </c>
      <c r="D125" s="2">
        <v>7</v>
      </c>
      <c r="E125" t="s">
        <v>51</v>
      </c>
      <c r="F125" t="s">
        <v>55</v>
      </c>
      <c r="G125" t="s">
        <v>166</v>
      </c>
      <c r="H125">
        <v>0</v>
      </c>
      <c r="I125" s="13">
        <v>1</v>
      </c>
      <c r="J125" s="2">
        <v>9</v>
      </c>
      <c r="K125">
        <v>8</v>
      </c>
      <c r="L125" s="2">
        <f t="shared" si="8"/>
        <v>-1</v>
      </c>
      <c r="M125">
        <v>9</v>
      </c>
      <c r="N125">
        <v>6</v>
      </c>
      <c r="O125">
        <f t="shared" si="9"/>
        <v>-3</v>
      </c>
      <c r="P125">
        <v>3</v>
      </c>
      <c r="Q125">
        <v>3</v>
      </c>
      <c r="R125">
        <f t="shared" si="10"/>
        <v>0</v>
      </c>
      <c r="S125">
        <v>2</v>
      </c>
      <c r="T125">
        <v>1</v>
      </c>
      <c r="U125">
        <f t="shared" si="11"/>
        <v>-1</v>
      </c>
      <c r="V125">
        <v>1</v>
      </c>
      <c r="W125">
        <v>2</v>
      </c>
      <c r="X125">
        <f t="shared" si="12"/>
        <v>1</v>
      </c>
      <c r="Y125" s="2">
        <v>0</v>
      </c>
      <c r="Z125" s="2">
        <v>0</v>
      </c>
      <c r="AA125" s="2">
        <v>0</v>
      </c>
      <c r="AB125">
        <f t="shared" si="14"/>
        <v>0</v>
      </c>
      <c r="AC125" s="2">
        <v>1</v>
      </c>
      <c r="AD125" s="2">
        <v>1</v>
      </c>
      <c r="AE125" s="2">
        <v>0</v>
      </c>
      <c r="AF125" s="2">
        <v>1</v>
      </c>
      <c r="AG125" s="2">
        <v>0</v>
      </c>
      <c r="AH125" s="2">
        <v>0</v>
      </c>
      <c r="AI125" s="2">
        <v>1</v>
      </c>
      <c r="AJ125" s="2">
        <v>1</v>
      </c>
      <c r="AK125">
        <f t="shared" si="13"/>
        <v>0</v>
      </c>
      <c r="AL125" t="s">
        <v>5</v>
      </c>
    </row>
    <row r="126" spans="1:38" x14ac:dyDescent="0.35">
      <c r="A126">
        <v>140</v>
      </c>
      <c r="B126" t="s">
        <v>15</v>
      </c>
      <c r="C126">
        <v>1.61</v>
      </c>
      <c r="D126" s="2">
        <v>7</v>
      </c>
      <c r="E126" t="s">
        <v>51</v>
      </c>
      <c r="F126" t="s">
        <v>52</v>
      </c>
      <c r="G126" t="s">
        <v>166</v>
      </c>
      <c r="H126">
        <v>0</v>
      </c>
      <c r="I126" s="13">
        <v>0.25</v>
      </c>
      <c r="J126" s="2">
        <v>4</v>
      </c>
      <c r="K126">
        <v>4</v>
      </c>
      <c r="L126" s="2">
        <f t="shared" si="8"/>
        <v>0</v>
      </c>
      <c r="M126">
        <v>9</v>
      </c>
      <c r="N126">
        <v>9</v>
      </c>
      <c r="O126">
        <f t="shared" si="9"/>
        <v>0</v>
      </c>
      <c r="P126">
        <v>3</v>
      </c>
      <c r="Q126">
        <v>3</v>
      </c>
      <c r="R126">
        <f t="shared" si="10"/>
        <v>0</v>
      </c>
      <c r="S126">
        <v>2</v>
      </c>
      <c r="T126">
        <v>3</v>
      </c>
      <c r="U126">
        <f t="shared" si="11"/>
        <v>1</v>
      </c>
      <c r="V126">
        <v>2</v>
      </c>
      <c r="W126">
        <v>2</v>
      </c>
      <c r="X126">
        <f t="shared" si="12"/>
        <v>0</v>
      </c>
      <c r="Y126" s="2">
        <v>0</v>
      </c>
      <c r="Z126" s="2">
        <v>0</v>
      </c>
      <c r="AA126" s="2">
        <v>0</v>
      </c>
      <c r="AB126">
        <f t="shared" si="14"/>
        <v>0</v>
      </c>
      <c r="AC126" s="2">
        <v>1</v>
      </c>
      <c r="AD126" s="2">
        <v>0</v>
      </c>
      <c r="AE126" s="2">
        <v>0</v>
      </c>
      <c r="AF126" s="2">
        <v>0</v>
      </c>
      <c r="AG126" s="2">
        <v>0</v>
      </c>
      <c r="AH126" s="2">
        <v>0</v>
      </c>
      <c r="AI126" s="2">
        <v>0</v>
      </c>
      <c r="AJ126" s="2">
        <v>0</v>
      </c>
      <c r="AK126">
        <f t="shared" si="13"/>
        <v>0</v>
      </c>
      <c r="AL126" t="s">
        <v>137</v>
      </c>
    </row>
    <row r="127" spans="1:38" x14ac:dyDescent="0.35">
      <c r="A127">
        <v>141</v>
      </c>
      <c r="B127" t="s">
        <v>15</v>
      </c>
      <c r="C127">
        <v>1.61</v>
      </c>
      <c r="D127" s="2">
        <v>17</v>
      </c>
      <c r="E127" t="s">
        <v>51</v>
      </c>
      <c r="F127" t="s">
        <v>52</v>
      </c>
      <c r="G127" t="s">
        <v>165</v>
      </c>
      <c r="H127">
        <v>0</v>
      </c>
      <c r="I127" s="13">
        <v>0.5</v>
      </c>
      <c r="J127" s="2">
        <v>3</v>
      </c>
      <c r="K127">
        <v>1</v>
      </c>
      <c r="L127" s="2">
        <f t="shared" si="8"/>
        <v>-2</v>
      </c>
      <c r="M127">
        <v>8</v>
      </c>
      <c r="N127">
        <v>3</v>
      </c>
      <c r="O127">
        <f t="shared" si="9"/>
        <v>-5</v>
      </c>
      <c r="P127">
        <v>1</v>
      </c>
      <c r="Q127">
        <v>1</v>
      </c>
      <c r="R127">
        <f t="shared" si="10"/>
        <v>0</v>
      </c>
      <c r="S127">
        <v>3</v>
      </c>
      <c r="T127">
        <v>4</v>
      </c>
      <c r="U127">
        <f t="shared" si="11"/>
        <v>1</v>
      </c>
      <c r="V127">
        <v>2</v>
      </c>
      <c r="W127">
        <v>2</v>
      </c>
      <c r="X127">
        <f t="shared" si="12"/>
        <v>0</v>
      </c>
      <c r="Y127" s="2">
        <v>1</v>
      </c>
      <c r="Z127" s="2">
        <v>1</v>
      </c>
      <c r="AA127" s="2">
        <v>0</v>
      </c>
      <c r="AB127">
        <f t="shared" si="14"/>
        <v>1</v>
      </c>
      <c r="AC127" s="2">
        <v>1</v>
      </c>
      <c r="AD127" s="2">
        <v>1</v>
      </c>
      <c r="AE127" s="2">
        <v>0</v>
      </c>
      <c r="AF127" s="2">
        <v>1</v>
      </c>
      <c r="AG127" s="2">
        <v>0</v>
      </c>
      <c r="AH127" s="2">
        <v>0</v>
      </c>
      <c r="AI127" s="2">
        <v>0</v>
      </c>
      <c r="AJ127" s="2">
        <v>1</v>
      </c>
      <c r="AK127">
        <f t="shared" si="13"/>
        <v>0</v>
      </c>
      <c r="AL127" t="s">
        <v>5</v>
      </c>
    </row>
    <row r="128" spans="1:38" x14ac:dyDescent="0.35">
      <c r="A128">
        <v>142</v>
      </c>
      <c r="B128" t="s">
        <v>17</v>
      </c>
      <c r="C128">
        <v>-0.04</v>
      </c>
      <c r="D128" s="2">
        <v>103</v>
      </c>
      <c r="E128" t="s">
        <v>61</v>
      </c>
      <c r="F128" t="s">
        <v>52</v>
      </c>
      <c r="G128" t="s">
        <v>165</v>
      </c>
      <c r="H128">
        <v>0</v>
      </c>
      <c r="I128" s="13">
        <v>0.25</v>
      </c>
      <c r="J128" s="2">
        <v>1</v>
      </c>
      <c r="K128">
        <v>2</v>
      </c>
      <c r="L128" s="2">
        <f t="shared" si="8"/>
        <v>1</v>
      </c>
      <c r="M128">
        <v>2</v>
      </c>
      <c r="N128">
        <v>4</v>
      </c>
      <c r="O128">
        <f t="shared" si="9"/>
        <v>2</v>
      </c>
      <c r="P128">
        <v>1</v>
      </c>
      <c r="Q128">
        <v>2</v>
      </c>
      <c r="R128">
        <f t="shared" si="10"/>
        <v>1</v>
      </c>
      <c r="S128">
        <v>2</v>
      </c>
      <c r="T128">
        <v>2</v>
      </c>
      <c r="U128">
        <f t="shared" si="11"/>
        <v>0</v>
      </c>
      <c r="V128">
        <v>2</v>
      </c>
      <c r="W128">
        <v>1</v>
      </c>
      <c r="X128">
        <f t="shared" si="12"/>
        <v>-1</v>
      </c>
      <c r="Y128" s="2">
        <v>0</v>
      </c>
      <c r="Z128" s="2">
        <v>0</v>
      </c>
      <c r="AA128" s="2">
        <v>0</v>
      </c>
      <c r="AB128">
        <f t="shared" si="14"/>
        <v>0</v>
      </c>
      <c r="AC128" s="2">
        <v>0</v>
      </c>
      <c r="AD128" s="2">
        <v>1</v>
      </c>
      <c r="AE128" s="2">
        <v>0</v>
      </c>
      <c r="AF128" s="2">
        <v>1</v>
      </c>
      <c r="AG128" s="2">
        <v>1</v>
      </c>
      <c r="AH128" s="2">
        <v>1</v>
      </c>
      <c r="AI128" s="2">
        <v>1</v>
      </c>
      <c r="AJ128" s="2">
        <v>0</v>
      </c>
      <c r="AK128">
        <f t="shared" si="13"/>
        <v>0</v>
      </c>
      <c r="AL128" t="s">
        <v>46</v>
      </c>
    </row>
    <row r="129" spans="1:38" x14ac:dyDescent="0.35">
      <c r="A129">
        <v>143</v>
      </c>
      <c r="B129" t="s">
        <v>17</v>
      </c>
      <c r="C129">
        <v>-0.04</v>
      </c>
      <c r="D129" s="2">
        <v>103</v>
      </c>
      <c r="E129" t="s">
        <v>61</v>
      </c>
      <c r="F129" t="s">
        <v>52</v>
      </c>
      <c r="G129" t="s">
        <v>165</v>
      </c>
      <c r="H129">
        <v>0</v>
      </c>
      <c r="I129" s="13">
        <v>0</v>
      </c>
      <c r="J129" s="2">
        <v>2</v>
      </c>
      <c r="K129">
        <v>3</v>
      </c>
      <c r="L129" s="2">
        <f t="shared" si="8"/>
        <v>1</v>
      </c>
      <c r="M129">
        <v>1</v>
      </c>
      <c r="N129">
        <v>1</v>
      </c>
      <c r="O129">
        <f t="shared" si="9"/>
        <v>0</v>
      </c>
      <c r="P129">
        <v>2</v>
      </c>
      <c r="Q129">
        <v>2</v>
      </c>
      <c r="R129">
        <f t="shared" si="10"/>
        <v>0</v>
      </c>
      <c r="S129">
        <v>1</v>
      </c>
      <c r="T129">
        <v>1</v>
      </c>
      <c r="U129">
        <f t="shared" si="11"/>
        <v>0</v>
      </c>
      <c r="V129">
        <v>1</v>
      </c>
      <c r="W129">
        <v>1</v>
      </c>
      <c r="X129">
        <f t="shared" si="12"/>
        <v>0</v>
      </c>
      <c r="Y129" s="2">
        <v>1</v>
      </c>
      <c r="Z129" s="2">
        <v>0</v>
      </c>
      <c r="AA129" s="2">
        <v>0</v>
      </c>
      <c r="AB129">
        <f t="shared" si="14"/>
        <v>0</v>
      </c>
      <c r="AC129" s="2">
        <v>0</v>
      </c>
      <c r="AD129" s="2">
        <v>1</v>
      </c>
      <c r="AE129" s="2">
        <v>0</v>
      </c>
      <c r="AF129" s="2">
        <v>1</v>
      </c>
      <c r="AG129" s="2">
        <v>0</v>
      </c>
      <c r="AH129" s="2">
        <v>1</v>
      </c>
      <c r="AI129" s="2">
        <v>1</v>
      </c>
      <c r="AJ129" s="2">
        <v>0</v>
      </c>
      <c r="AK129">
        <f t="shared" si="13"/>
        <v>0</v>
      </c>
      <c r="AL129" t="s">
        <v>8</v>
      </c>
    </row>
    <row r="130" spans="1:38" x14ac:dyDescent="0.35">
      <c r="A130">
        <v>144</v>
      </c>
      <c r="B130" t="s">
        <v>126</v>
      </c>
      <c r="C130" s="9">
        <v>1.81</v>
      </c>
      <c r="D130" s="2">
        <v>56</v>
      </c>
      <c r="E130" t="s">
        <v>60</v>
      </c>
      <c r="F130" t="s">
        <v>52</v>
      </c>
      <c r="G130" t="s">
        <v>165</v>
      </c>
      <c r="H130">
        <v>0</v>
      </c>
      <c r="I130" s="13">
        <v>0.25</v>
      </c>
      <c r="J130" s="2">
        <v>3</v>
      </c>
      <c r="K130">
        <v>3</v>
      </c>
      <c r="L130" s="2">
        <f t="shared" si="8"/>
        <v>0</v>
      </c>
      <c r="M130">
        <v>7</v>
      </c>
      <c r="N130">
        <v>7</v>
      </c>
      <c r="O130">
        <f t="shared" si="9"/>
        <v>0</v>
      </c>
      <c r="P130">
        <v>3</v>
      </c>
      <c r="Q130">
        <v>3</v>
      </c>
      <c r="R130">
        <f t="shared" si="10"/>
        <v>0</v>
      </c>
      <c r="S130">
        <v>3</v>
      </c>
      <c r="T130">
        <v>2</v>
      </c>
      <c r="U130">
        <f t="shared" si="11"/>
        <v>-1</v>
      </c>
      <c r="V130">
        <v>1</v>
      </c>
      <c r="W130">
        <v>1</v>
      </c>
      <c r="X130">
        <f t="shared" si="12"/>
        <v>0</v>
      </c>
      <c r="Y130" s="2">
        <v>0</v>
      </c>
      <c r="Z130" s="2">
        <v>0</v>
      </c>
      <c r="AA130" s="2">
        <v>0</v>
      </c>
      <c r="AB130">
        <f t="shared" si="14"/>
        <v>0</v>
      </c>
      <c r="AC130" s="2">
        <v>0</v>
      </c>
      <c r="AD130" s="2">
        <v>1</v>
      </c>
      <c r="AE130" s="2">
        <v>0</v>
      </c>
      <c r="AF130" s="2">
        <v>1</v>
      </c>
      <c r="AG130" s="2">
        <v>0</v>
      </c>
      <c r="AH130" s="2">
        <v>0</v>
      </c>
      <c r="AI130" s="2">
        <v>0</v>
      </c>
      <c r="AJ130" s="2">
        <v>1</v>
      </c>
      <c r="AK130">
        <f t="shared" si="13"/>
        <v>0</v>
      </c>
      <c r="AL130" t="s">
        <v>42</v>
      </c>
    </row>
    <row r="131" spans="1:38" x14ac:dyDescent="0.35">
      <c r="A131">
        <v>145</v>
      </c>
      <c r="B131" t="s">
        <v>15</v>
      </c>
      <c r="C131">
        <v>1.61</v>
      </c>
      <c r="D131" s="5">
        <v>7</v>
      </c>
      <c r="E131" t="s">
        <v>159</v>
      </c>
      <c r="F131" t="s">
        <v>58</v>
      </c>
      <c r="G131" t="s">
        <v>165</v>
      </c>
      <c r="H131">
        <v>0</v>
      </c>
      <c r="I131" s="13">
        <v>0.75</v>
      </c>
      <c r="J131" s="2">
        <v>13</v>
      </c>
      <c r="K131">
        <v>12</v>
      </c>
      <c r="L131" s="2">
        <f t="shared" ref="L131:L194" si="15">K131-J131</f>
        <v>-1</v>
      </c>
      <c r="M131">
        <v>9</v>
      </c>
      <c r="N131">
        <v>6</v>
      </c>
      <c r="O131">
        <f t="shared" ref="O131:O194" si="16">N131-M131</f>
        <v>-3</v>
      </c>
      <c r="P131">
        <v>3</v>
      </c>
      <c r="Q131">
        <v>3</v>
      </c>
      <c r="R131">
        <f t="shared" ref="R131:R194" si="17">Q131-P131</f>
        <v>0</v>
      </c>
      <c r="S131">
        <v>2</v>
      </c>
      <c r="T131">
        <v>1</v>
      </c>
      <c r="U131">
        <f t="shared" ref="U131:U194" si="18">T131-S131</f>
        <v>-1</v>
      </c>
      <c r="V131">
        <v>2</v>
      </c>
      <c r="W131">
        <v>1</v>
      </c>
      <c r="X131">
        <f t="shared" ref="X131:X194" si="19">W131-V131</f>
        <v>-1</v>
      </c>
      <c r="Y131" s="2">
        <v>0</v>
      </c>
      <c r="Z131" s="2">
        <v>0</v>
      </c>
      <c r="AA131" s="2">
        <v>1</v>
      </c>
      <c r="AB131">
        <f t="shared" si="14"/>
        <v>1</v>
      </c>
      <c r="AC131" s="2">
        <v>0</v>
      </c>
      <c r="AD131" s="2">
        <v>1</v>
      </c>
      <c r="AE131" s="2">
        <v>0</v>
      </c>
      <c r="AF131" s="2">
        <v>1</v>
      </c>
      <c r="AG131" s="2">
        <v>0</v>
      </c>
      <c r="AH131" s="2">
        <v>1</v>
      </c>
      <c r="AI131" s="2">
        <v>1</v>
      </c>
      <c r="AJ131" s="2">
        <v>1</v>
      </c>
      <c r="AK131">
        <f t="shared" ref="AK131:AK194" si="20">IF(Y131+Z131+AA131+AC131+AD131+AE131+AF131+AG131+AH131+AI131+AJ131=0,1,0)</f>
        <v>0</v>
      </c>
      <c r="AL131" s="9" t="s">
        <v>38</v>
      </c>
    </row>
    <row r="132" spans="1:38" x14ac:dyDescent="0.35">
      <c r="A132">
        <v>147</v>
      </c>
      <c r="B132" t="s">
        <v>17</v>
      </c>
      <c r="C132">
        <v>-0.04</v>
      </c>
      <c r="D132" s="2">
        <v>13</v>
      </c>
      <c r="E132" t="s">
        <v>61</v>
      </c>
      <c r="F132" t="s">
        <v>58</v>
      </c>
      <c r="G132" t="s">
        <v>165</v>
      </c>
      <c r="H132">
        <v>0</v>
      </c>
      <c r="I132" s="13">
        <v>0.25</v>
      </c>
      <c r="J132" s="2">
        <v>1</v>
      </c>
      <c r="K132">
        <v>1</v>
      </c>
      <c r="L132" s="2">
        <f t="shared" si="15"/>
        <v>0</v>
      </c>
      <c r="M132">
        <v>2</v>
      </c>
      <c r="N132">
        <v>2</v>
      </c>
      <c r="O132">
        <f t="shared" si="16"/>
        <v>0</v>
      </c>
      <c r="P132">
        <v>1</v>
      </c>
      <c r="Q132">
        <v>1</v>
      </c>
      <c r="R132">
        <f t="shared" si="17"/>
        <v>0</v>
      </c>
      <c r="S132">
        <v>1</v>
      </c>
      <c r="T132">
        <v>1</v>
      </c>
      <c r="U132">
        <f t="shared" si="18"/>
        <v>0</v>
      </c>
      <c r="Y132" s="2">
        <v>0</v>
      </c>
      <c r="Z132" s="2">
        <v>1</v>
      </c>
      <c r="AA132" s="2">
        <v>0</v>
      </c>
      <c r="AB132">
        <f t="shared" si="14"/>
        <v>1</v>
      </c>
      <c r="AC132" s="2">
        <v>0</v>
      </c>
      <c r="AD132" s="2">
        <v>1</v>
      </c>
      <c r="AE132" s="2">
        <v>0</v>
      </c>
      <c r="AF132" s="2">
        <v>1</v>
      </c>
      <c r="AG132" s="2">
        <v>1</v>
      </c>
      <c r="AH132" s="2">
        <v>1</v>
      </c>
      <c r="AI132" s="2">
        <v>1</v>
      </c>
      <c r="AJ132" s="2">
        <v>0</v>
      </c>
      <c r="AK132">
        <f t="shared" si="20"/>
        <v>0</v>
      </c>
      <c r="AL132" t="s">
        <v>135</v>
      </c>
    </row>
    <row r="133" spans="1:38" x14ac:dyDescent="0.35">
      <c r="A133">
        <v>148</v>
      </c>
      <c r="B133" t="s">
        <v>126</v>
      </c>
      <c r="C133" s="9">
        <v>1.81</v>
      </c>
      <c r="D133" s="2">
        <v>89</v>
      </c>
      <c r="E133" t="s">
        <v>60</v>
      </c>
      <c r="F133" t="s">
        <v>52</v>
      </c>
      <c r="G133" t="s">
        <v>165</v>
      </c>
      <c r="H133">
        <v>0</v>
      </c>
      <c r="I133" s="13">
        <v>0.25</v>
      </c>
      <c r="J133" s="2">
        <v>3</v>
      </c>
      <c r="K133">
        <v>3</v>
      </c>
      <c r="L133" s="2">
        <f t="shared" si="15"/>
        <v>0</v>
      </c>
      <c r="M133">
        <v>8</v>
      </c>
      <c r="N133">
        <v>8</v>
      </c>
      <c r="O133">
        <f t="shared" si="16"/>
        <v>0</v>
      </c>
      <c r="P133">
        <v>1</v>
      </c>
      <c r="Q133">
        <v>1</v>
      </c>
      <c r="R133">
        <f t="shared" si="17"/>
        <v>0</v>
      </c>
      <c r="S133">
        <v>1</v>
      </c>
      <c r="T133">
        <v>2</v>
      </c>
      <c r="U133">
        <f t="shared" si="18"/>
        <v>1</v>
      </c>
      <c r="V133">
        <v>0</v>
      </c>
      <c r="W133">
        <v>0</v>
      </c>
      <c r="X133">
        <f t="shared" si="19"/>
        <v>0</v>
      </c>
      <c r="Y133" s="2">
        <v>0</v>
      </c>
      <c r="Z133" s="2">
        <v>0</v>
      </c>
      <c r="AA133" s="2">
        <v>0</v>
      </c>
      <c r="AB133">
        <f t="shared" si="14"/>
        <v>0</v>
      </c>
      <c r="AC133" s="2">
        <v>0</v>
      </c>
      <c r="AD133" s="2">
        <v>0</v>
      </c>
      <c r="AE133" s="2">
        <v>0</v>
      </c>
      <c r="AF133" s="2">
        <v>1</v>
      </c>
      <c r="AG133" s="2">
        <v>0</v>
      </c>
      <c r="AH133" s="2">
        <v>0</v>
      </c>
      <c r="AI133" s="2">
        <v>0</v>
      </c>
      <c r="AJ133" s="2">
        <v>1</v>
      </c>
      <c r="AK133">
        <f t="shared" si="20"/>
        <v>0</v>
      </c>
      <c r="AL133" t="s">
        <v>42</v>
      </c>
    </row>
    <row r="134" spans="1:38" x14ac:dyDescent="0.35">
      <c r="A134">
        <v>149</v>
      </c>
      <c r="B134" t="s">
        <v>17</v>
      </c>
      <c r="C134">
        <v>-0.04</v>
      </c>
      <c r="D134" s="2">
        <v>60</v>
      </c>
      <c r="E134" t="s">
        <v>61</v>
      </c>
      <c r="F134" t="s">
        <v>58</v>
      </c>
      <c r="G134" t="s">
        <v>165</v>
      </c>
      <c r="H134">
        <v>0</v>
      </c>
      <c r="I134" s="13">
        <v>0.25</v>
      </c>
      <c r="J134" s="2">
        <v>6</v>
      </c>
      <c r="K134">
        <v>6</v>
      </c>
      <c r="L134" s="2">
        <f t="shared" si="15"/>
        <v>0</v>
      </c>
      <c r="M134">
        <v>6</v>
      </c>
      <c r="N134">
        <v>5</v>
      </c>
      <c r="O134">
        <f t="shared" si="16"/>
        <v>-1</v>
      </c>
      <c r="P134">
        <v>2</v>
      </c>
      <c r="Q134">
        <v>2</v>
      </c>
      <c r="R134">
        <f t="shared" si="17"/>
        <v>0</v>
      </c>
      <c r="S134">
        <v>3</v>
      </c>
      <c r="T134">
        <v>2</v>
      </c>
      <c r="U134">
        <f t="shared" si="18"/>
        <v>-1</v>
      </c>
      <c r="V134">
        <v>2</v>
      </c>
      <c r="W134">
        <v>2</v>
      </c>
      <c r="X134">
        <f t="shared" si="19"/>
        <v>0</v>
      </c>
      <c r="Y134" s="2">
        <v>0</v>
      </c>
      <c r="Z134" s="2">
        <v>0</v>
      </c>
      <c r="AA134" s="2">
        <v>0</v>
      </c>
      <c r="AB134">
        <f t="shared" si="14"/>
        <v>0</v>
      </c>
      <c r="AC134" s="2">
        <v>0</v>
      </c>
      <c r="AD134" s="2">
        <v>1</v>
      </c>
      <c r="AE134" s="2">
        <v>0</v>
      </c>
      <c r="AF134" s="2">
        <v>1</v>
      </c>
      <c r="AG134" s="2">
        <v>0</v>
      </c>
      <c r="AH134" s="2">
        <v>0</v>
      </c>
      <c r="AI134" s="2">
        <v>1</v>
      </c>
      <c r="AJ134" s="2">
        <v>0</v>
      </c>
      <c r="AK134">
        <f t="shared" si="20"/>
        <v>0</v>
      </c>
      <c r="AL134" t="s">
        <v>5</v>
      </c>
    </row>
    <row r="135" spans="1:38" x14ac:dyDescent="0.35">
      <c r="A135">
        <v>150</v>
      </c>
      <c r="B135" t="s">
        <v>126</v>
      </c>
      <c r="C135" s="9">
        <v>1.81</v>
      </c>
      <c r="D135" s="2">
        <v>47</v>
      </c>
      <c r="E135" t="s">
        <v>60</v>
      </c>
      <c r="F135" t="s">
        <v>52</v>
      </c>
      <c r="G135" t="s">
        <v>166</v>
      </c>
      <c r="H135">
        <v>0</v>
      </c>
      <c r="I135" s="13">
        <v>0.25</v>
      </c>
      <c r="J135" s="2">
        <v>8</v>
      </c>
      <c r="K135">
        <v>8</v>
      </c>
      <c r="L135" s="2">
        <f t="shared" si="15"/>
        <v>0</v>
      </c>
      <c r="M135">
        <v>4</v>
      </c>
      <c r="N135">
        <v>4</v>
      </c>
      <c r="O135">
        <f t="shared" si="16"/>
        <v>0</v>
      </c>
      <c r="P135">
        <v>1</v>
      </c>
      <c r="Q135">
        <v>1</v>
      </c>
      <c r="R135">
        <f t="shared" si="17"/>
        <v>0</v>
      </c>
      <c r="S135">
        <v>1</v>
      </c>
      <c r="T135">
        <v>2</v>
      </c>
      <c r="U135">
        <f t="shared" si="18"/>
        <v>1</v>
      </c>
      <c r="V135">
        <v>1</v>
      </c>
      <c r="W135">
        <v>1</v>
      </c>
      <c r="X135">
        <f t="shared" si="19"/>
        <v>0</v>
      </c>
      <c r="Y135" s="2">
        <v>0</v>
      </c>
      <c r="Z135" s="2">
        <v>0</v>
      </c>
      <c r="AA135" s="2">
        <v>0</v>
      </c>
      <c r="AB135" s="2">
        <f t="shared" si="14"/>
        <v>0</v>
      </c>
      <c r="AC135" s="2">
        <v>0</v>
      </c>
      <c r="AD135" s="2">
        <v>1</v>
      </c>
      <c r="AE135" s="2">
        <v>0</v>
      </c>
      <c r="AF135" s="2">
        <v>1</v>
      </c>
      <c r="AG135" s="2">
        <v>0</v>
      </c>
      <c r="AH135" s="2">
        <v>1</v>
      </c>
      <c r="AI135" s="2">
        <v>1</v>
      </c>
      <c r="AJ135" s="2">
        <v>0</v>
      </c>
      <c r="AK135">
        <f t="shared" si="20"/>
        <v>0</v>
      </c>
      <c r="AL135" t="s">
        <v>5</v>
      </c>
    </row>
    <row r="136" spans="1:38" x14ac:dyDescent="0.35">
      <c r="A136">
        <v>151</v>
      </c>
      <c r="B136" t="s">
        <v>17</v>
      </c>
      <c r="C136">
        <v>-0.04</v>
      </c>
      <c r="D136" s="2">
        <v>138</v>
      </c>
      <c r="E136" t="s">
        <v>61</v>
      </c>
      <c r="F136" t="s">
        <v>54</v>
      </c>
      <c r="G136" t="s">
        <v>165</v>
      </c>
      <c r="H136">
        <v>0</v>
      </c>
      <c r="I136" s="13">
        <v>0.25</v>
      </c>
      <c r="J136" s="2">
        <v>3</v>
      </c>
      <c r="K136">
        <v>3</v>
      </c>
      <c r="L136" s="2">
        <f t="shared" si="15"/>
        <v>0</v>
      </c>
      <c r="M136">
        <v>6</v>
      </c>
      <c r="N136">
        <v>6</v>
      </c>
      <c r="O136">
        <f t="shared" si="16"/>
        <v>0</v>
      </c>
      <c r="P136">
        <v>1</v>
      </c>
      <c r="Q136">
        <v>1</v>
      </c>
      <c r="R136">
        <f t="shared" si="17"/>
        <v>0</v>
      </c>
      <c r="S136">
        <v>2</v>
      </c>
      <c r="T136">
        <v>2</v>
      </c>
      <c r="U136">
        <f t="shared" si="18"/>
        <v>0</v>
      </c>
      <c r="V136">
        <v>2</v>
      </c>
      <c r="W136">
        <v>2</v>
      </c>
      <c r="X136">
        <f t="shared" si="19"/>
        <v>0</v>
      </c>
      <c r="Y136" s="2">
        <v>0</v>
      </c>
      <c r="Z136" s="2">
        <v>1</v>
      </c>
      <c r="AA136" s="2">
        <v>0</v>
      </c>
      <c r="AB136" s="2">
        <f t="shared" si="14"/>
        <v>1</v>
      </c>
      <c r="AC136" s="2">
        <v>0</v>
      </c>
      <c r="AD136" s="2">
        <v>1</v>
      </c>
      <c r="AE136" s="2">
        <v>0</v>
      </c>
      <c r="AF136" s="2">
        <v>0</v>
      </c>
      <c r="AG136" s="2">
        <v>1</v>
      </c>
      <c r="AH136" s="2">
        <v>0</v>
      </c>
      <c r="AI136" s="2">
        <v>1</v>
      </c>
      <c r="AJ136" s="2">
        <v>0</v>
      </c>
      <c r="AK136">
        <f t="shared" si="20"/>
        <v>0</v>
      </c>
      <c r="AL136" t="s">
        <v>5</v>
      </c>
    </row>
    <row r="137" spans="1:38" x14ac:dyDescent="0.35">
      <c r="A137">
        <v>152</v>
      </c>
      <c r="B137" t="s">
        <v>17</v>
      </c>
      <c r="C137">
        <v>-0.04</v>
      </c>
      <c r="D137" s="2">
        <v>60</v>
      </c>
      <c r="E137" t="s">
        <v>51</v>
      </c>
      <c r="F137" t="s">
        <v>58</v>
      </c>
      <c r="G137" t="s">
        <v>166</v>
      </c>
      <c r="H137">
        <v>0</v>
      </c>
      <c r="I137" s="13">
        <v>0.25</v>
      </c>
      <c r="J137" s="2">
        <v>4</v>
      </c>
      <c r="K137">
        <v>5</v>
      </c>
      <c r="L137" s="2">
        <f t="shared" si="15"/>
        <v>1</v>
      </c>
      <c r="M137">
        <v>5</v>
      </c>
      <c r="N137">
        <v>5</v>
      </c>
      <c r="O137">
        <f t="shared" si="16"/>
        <v>0</v>
      </c>
      <c r="P137">
        <v>2</v>
      </c>
      <c r="Q137">
        <v>2</v>
      </c>
      <c r="R137">
        <f t="shared" si="17"/>
        <v>0</v>
      </c>
      <c r="S137">
        <v>2</v>
      </c>
      <c r="T137">
        <v>2</v>
      </c>
      <c r="U137">
        <f t="shared" si="18"/>
        <v>0</v>
      </c>
      <c r="V137">
        <v>1</v>
      </c>
      <c r="W137">
        <v>1</v>
      </c>
      <c r="X137">
        <f t="shared" si="19"/>
        <v>0</v>
      </c>
      <c r="Y137" s="2">
        <v>0</v>
      </c>
      <c r="Z137" s="2">
        <v>0</v>
      </c>
      <c r="AA137" s="2">
        <v>0</v>
      </c>
      <c r="AB137" s="2">
        <f t="shared" si="14"/>
        <v>0</v>
      </c>
      <c r="AC137" s="2">
        <v>0</v>
      </c>
      <c r="AD137" s="2">
        <v>0</v>
      </c>
      <c r="AE137" s="2">
        <v>0</v>
      </c>
      <c r="AF137" s="2">
        <v>0</v>
      </c>
      <c r="AG137" s="2">
        <v>0</v>
      </c>
      <c r="AH137" s="2">
        <v>0</v>
      </c>
      <c r="AI137" s="2">
        <v>0</v>
      </c>
      <c r="AJ137" s="2">
        <v>0</v>
      </c>
      <c r="AK137">
        <f t="shared" si="20"/>
        <v>1</v>
      </c>
      <c r="AL137" t="s">
        <v>139</v>
      </c>
    </row>
    <row r="138" spans="1:38" x14ac:dyDescent="0.35">
      <c r="A138">
        <v>153</v>
      </c>
      <c r="B138" t="s">
        <v>164</v>
      </c>
      <c r="C138">
        <v>1.47</v>
      </c>
      <c r="D138" s="2">
        <v>10</v>
      </c>
      <c r="E138" t="s">
        <v>161</v>
      </c>
      <c r="F138" t="s">
        <v>52</v>
      </c>
      <c r="G138" t="s">
        <v>166</v>
      </c>
      <c r="H138">
        <v>0</v>
      </c>
      <c r="I138" s="13">
        <v>0.25</v>
      </c>
      <c r="J138" s="2">
        <v>16</v>
      </c>
      <c r="K138">
        <v>14</v>
      </c>
      <c r="L138" s="2">
        <f t="shared" si="15"/>
        <v>-2</v>
      </c>
      <c r="M138">
        <v>6</v>
      </c>
      <c r="N138">
        <v>6</v>
      </c>
      <c r="O138">
        <f t="shared" si="16"/>
        <v>0</v>
      </c>
      <c r="P138">
        <v>2</v>
      </c>
      <c r="Q138">
        <v>2</v>
      </c>
      <c r="R138">
        <f t="shared" si="17"/>
        <v>0</v>
      </c>
      <c r="S138">
        <v>2</v>
      </c>
      <c r="T138">
        <v>2</v>
      </c>
      <c r="U138">
        <f t="shared" si="18"/>
        <v>0</v>
      </c>
      <c r="V138">
        <v>1</v>
      </c>
      <c r="W138">
        <v>1</v>
      </c>
      <c r="X138">
        <f t="shared" si="19"/>
        <v>0</v>
      </c>
      <c r="Y138" s="2">
        <v>0</v>
      </c>
      <c r="Z138" s="2">
        <v>0</v>
      </c>
      <c r="AA138" s="2">
        <v>0</v>
      </c>
      <c r="AB138" s="2">
        <f t="shared" si="14"/>
        <v>0</v>
      </c>
      <c r="AC138" s="2">
        <v>0</v>
      </c>
      <c r="AD138" s="2">
        <v>0</v>
      </c>
      <c r="AE138" s="2">
        <v>0</v>
      </c>
      <c r="AF138" s="2">
        <v>0</v>
      </c>
      <c r="AG138" s="2">
        <v>0</v>
      </c>
      <c r="AH138" s="2">
        <v>0</v>
      </c>
      <c r="AI138" s="2">
        <v>0</v>
      </c>
      <c r="AJ138" s="2">
        <v>0</v>
      </c>
      <c r="AK138">
        <f t="shared" si="20"/>
        <v>1</v>
      </c>
      <c r="AL138" t="s">
        <v>139</v>
      </c>
    </row>
    <row r="139" spans="1:38" x14ac:dyDescent="0.35">
      <c r="A139">
        <v>154</v>
      </c>
      <c r="B139" t="s">
        <v>13</v>
      </c>
      <c r="C139">
        <v>1.42</v>
      </c>
      <c r="D139" s="5">
        <v>4</v>
      </c>
      <c r="E139" t="s">
        <v>159</v>
      </c>
      <c r="F139" t="s">
        <v>54</v>
      </c>
      <c r="G139" t="s">
        <v>166</v>
      </c>
      <c r="H139">
        <v>0</v>
      </c>
      <c r="I139" s="13">
        <v>0</v>
      </c>
      <c r="J139" s="2">
        <v>2</v>
      </c>
      <c r="K139">
        <v>2</v>
      </c>
      <c r="L139" s="2">
        <f t="shared" si="15"/>
        <v>0</v>
      </c>
      <c r="M139">
        <v>10</v>
      </c>
      <c r="N139">
        <v>10</v>
      </c>
      <c r="O139">
        <f t="shared" si="16"/>
        <v>0</v>
      </c>
      <c r="P139">
        <v>1</v>
      </c>
      <c r="Q139">
        <v>1</v>
      </c>
      <c r="R139">
        <f t="shared" si="17"/>
        <v>0</v>
      </c>
      <c r="S139">
        <v>3</v>
      </c>
      <c r="T139">
        <v>3</v>
      </c>
      <c r="U139">
        <f t="shared" si="18"/>
        <v>0</v>
      </c>
      <c r="V139">
        <v>2</v>
      </c>
      <c r="W139">
        <v>2</v>
      </c>
      <c r="X139">
        <f t="shared" si="19"/>
        <v>0</v>
      </c>
      <c r="Y139" s="2">
        <v>0</v>
      </c>
      <c r="Z139" s="2">
        <v>0</v>
      </c>
      <c r="AA139" s="2">
        <v>0</v>
      </c>
      <c r="AB139" s="2">
        <f t="shared" si="14"/>
        <v>0</v>
      </c>
      <c r="AC139" s="2">
        <v>0</v>
      </c>
      <c r="AD139" s="2">
        <v>0</v>
      </c>
      <c r="AE139" s="2">
        <v>0</v>
      </c>
      <c r="AF139" s="2">
        <v>1</v>
      </c>
      <c r="AG139" s="2">
        <v>0</v>
      </c>
      <c r="AH139" s="2">
        <v>0</v>
      </c>
      <c r="AI139" s="2">
        <v>0</v>
      </c>
      <c r="AJ139" s="2">
        <v>1</v>
      </c>
      <c r="AK139">
        <f t="shared" si="20"/>
        <v>0</v>
      </c>
      <c r="AL139" s="9" t="s">
        <v>38</v>
      </c>
    </row>
    <row r="140" spans="1:38" x14ac:dyDescent="0.35">
      <c r="A140">
        <v>158</v>
      </c>
      <c r="B140" t="s">
        <v>17</v>
      </c>
      <c r="C140">
        <v>-0.04</v>
      </c>
      <c r="D140" s="2">
        <v>16</v>
      </c>
      <c r="E140" t="s">
        <v>61</v>
      </c>
      <c r="F140" t="s">
        <v>58</v>
      </c>
      <c r="G140" t="s">
        <v>166</v>
      </c>
      <c r="H140">
        <v>0</v>
      </c>
      <c r="I140" s="13">
        <v>0.5</v>
      </c>
      <c r="J140" s="2">
        <v>9</v>
      </c>
      <c r="K140">
        <v>12</v>
      </c>
      <c r="L140" s="2">
        <f t="shared" si="15"/>
        <v>3</v>
      </c>
      <c r="M140" s="9">
        <v>2</v>
      </c>
      <c r="N140" s="9">
        <v>6</v>
      </c>
      <c r="O140">
        <f t="shared" si="16"/>
        <v>4</v>
      </c>
      <c r="P140" s="9">
        <v>3</v>
      </c>
      <c r="Q140" s="9">
        <v>3</v>
      </c>
      <c r="R140">
        <f t="shared" si="17"/>
        <v>0</v>
      </c>
      <c r="S140">
        <v>3</v>
      </c>
      <c r="T140">
        <v>3</v>
      </c>
      <c r="U140">
        <f t="shared" si="18"/>
        <v>0</v>
      </c>
      <c r="V140">
        <v>1</v>
      </c>
      <c r="W140">
        <v>2</v>
      </c>
      <c r="X140">
        <f t="shared" si="19"/>
        <v>1</v>
      </c>
      <c r="Y140" s="2">
        <v>0</v>
      </c>
      <c r="Z140" s="2">
        <v>1</v>
      </c>
      <c r="AA140" s="2">
        <v>1</v>
      </c>
      <c r="AB140" s="2">
        <f t="shared" si="14"/>
        <v>1</v>
      </c>
      <c r="AC140" s="2">
        <v>1</v>
      </c>
      <c r="AD140" s="2">
        <v>1</v>
      </c>
      <c r="AE140" s="2">
        <v>0</v>
      </c>
      <c r="AF140" s="2">
        <v>1</v>
      </c>
      <c r="AG140" s="2">
        <v>0</v>
      </c>
      <c r="AH140" s="2">
        <v>0</v>
      </c>
      <c r="AI140" s="2">
        <v>1</v>
      </c>
      <c r="AJ140" s="2">
        <v>0</v>
      </c>
      <c r="AK140">
        <f t="shared" si="20"/>
        <v>0</v>
      </c>
      <c r="AL140" t="s">
        <v>137</v>
      </c>
    </row>
    <row r="141" spans="1:38" x14ac:dyDescent="0.35">
      <c r="A141">
        <v>159</v>
      </c>
      <c r="B141" t="s">
        <v>17</v>
      </c>
      <c r="C141">
        <v>-0.04</v>
      </c>
      <c r="D141" s="2">
        <v>93</v>
      </c>
      <c r="E141" t="s">
        <v>61</v>
      </c>
      <c r="F141" t="s">
        <v>52</v>
      </c>
      <c r="G141" t="s">
        <v>165</v>
      </c>
      <c r="H141">
        <v>0</v>
      </c>
      <c r="I141" s="13">
        <v>0.25</v>
      </c>
      <c r="J141" s="2">
        <v>2</v>
      </c>
      <c r="K141">
        <v>2</v>
      </c>
      <c r="L141" s="2">
        <f t="shared" si="15"/>
        <v>0</v>
      </c>
      <c r="M141" s="9">
        <v>8</v>
      </c>
      <c r="N141" s="9">
        <v>7</v>
      </c>
      <c r="O141">
        <f t="shared" si="16"/>
        <v>-1</v>
      </c>
      <c r="P141" s="9">
        <v>2</v>
      </c>
      <c r="Q141" s="9">
        <v>2</v>
      </c>
      <c r="R141">
        <f t="shared" si="17"/>
        <v>0</v>
      </c>
      <c r="S141">
        <v>2</v>
      </c>
      <c r="T141">
        <v>4</v>
      </c>
      <c r="U141">
        <f t="shared" si="18"/>
        <v>2</v>
      </c>
      <c r="V141">
        <v>2</v>
      </c>
      <c r="W141">
        <v>2</v>
      </c>
      <c r="X141">
        <f t="shared" si="19"/>
        <v>0</v>
      </c>
      <c r="Y141" s="2">
        <v>1</v>
      </c>
      <c r="Z141" s="2">
        <v>0</v>
      </c>
      <c r="AA141" s="2">
        <v>1</v>
      </c>
      <c r="AB141" s="2">
        <f t="shared" si="14"/>
        <v>1</v>
      </c>
      <c r="AC141" s="2">
        <v>0</v>
      </c>
      <c r="AD141" s="2">
        <v>1</v>
      </c>
      <c r="AE141" s="2">
        <v>0</v>
      </c>
      <c r="AF141" s="2">
        <v>1</v>
      </c>
      <c r="AG141" s="2">
        <v>0</v>
      </c>
      <c r="AH141" s="2">
        <v>1</v>
      </c>
      <c r="AI141" s="2">
        <v>1</v>
      </c>
      <c r="AJ141" s="2">
        <v>0</v>
      </c>
      <c r="AK141">
        <f t="shared" si="20"/>
        <v>0</v>
      </c>
      <c r="AL141" t="s">
        <v>8</v>
      </c>
    </row>
    <row r="142" spans="1:38" x14ac:dyDescent="0.35">
      <c r="A142">
        <v>160</v>
      </c>
      <c r="B142" t="s">
        <v>17</v>
      </c>
      <c r="C142">
        <v>-0.04</v>
      </c>
      <c r="D142" s="5">
        <v>92</v>
      </c>
      <c r="E142" t="s">
        <v>61</v>
      </c>
      <c r="F142" t="s">
        <v>55</v>
      </c>
      <c r="G142" t="s">
        <v>165</v>
      </c>
      <c r="H142">
        <v>0</v>
      </c>
      <c r="I142" s="13">
        <v>0.5</v>
      </c>
      <c r="J142" s="2">
        <v>5</v>
      </c>
      <c r="K142">
        <v>5</v>
      </c>
      <c r="L142" s="2">
        <f t="shared" si="15"/>
        <v>0</v>
      </c>
      <c r="M142" s="9">
        <v>3</v>
      </c>
      <c r="N142" s="9">
        <v>3</v>
      </c>
      <c r="O142">
        <f t="shared" si="16"/>
        <v>0</v>
      </c>
      <c r="P142" s="9">
        <v>2</v>
      </c>
      <c r="Q142" s="9">
        <v>2</v>
      </c>
      <c r="R142">
        <f t="shared" si="17"/>
        <v>0</v>
      </c>
      <c r="S142">
        <v>1</v>
      </c>
      <c r="T142">
        <v>1</v>
      </c>
      <c r="U142">
        <f t="shared" si="18"/>
        <v>0</v>
      </c>
      <c r="V142">
        <v>2</v>
      </c>
      <c r="W142">
        <v>1</v>
      </c>
      <c r="X142">
        <f t="shared" si="19"/>
        <v>-1</v>
      </c>
      <c r="Y142" s="2">
        <v>0</v>
      </c>
      <c r="Z142" s="2">
        <v>1</v>
      </c>
      <c r="AA142" s="2">
        <v>0</v>
      </c>
      <c r="AB142" s="2">
        <f t="shared" si="14"/>
        <v>1</v>
      </c>
      <c r="AC142" s="2">
        <v>0</v>
      </c>
      <c r="AD142" s="2">
        <v>1</v>
      </c>
      <c r="AE142" s="2">
        <v>0</v>
      </c>
      <c r="AF142" s="2">
        <v>1</v>
      </c>
      <c r="AG142" s="2">
        <v>0</v>
      </c>
      <c r="AH142" s="2">
        <v>0</v>
      </c>
      <c r="AI142" s="2">
        <v>1</v>
      </c>
      <c r="AJ142" s="2">
        <v>0</v>
      </c>
      <c r="AK142">
        <f t="shared" si="20"/>
        <v>0</v>
      </c>
      <c r="AL142" s="9" t="s">
        <v>38</v>
      </c>
    </row>
    <row r="143" spans="1:38" x14ac:dyDescent="0.35">
      <c r="A143">
        <v>161</v>
      </c>
      <c r="B143" t="s">
        <v>17</v>
      </c>
      <c r="C143">
        <v>-0.04</v>
      </c>
      <c r="D143" s="2">
        <v>100</v>
      </c>
      <c r="E143" t="s">
        <v>159</v>
      </c>
      <c r="F143" t="s">
        <v>58</v>
      </c>
      <c r="G143" t="s">
        <v>166</v>
      </c>
      <c r="H143">
        <v>0</v>
      </c>
      <c r="I143" s="13">
        <v>1</v>
      </c>
      <c r="J143" s="2">
        <v>2</v>
      </c>
      <c r="K143">
        <v>2</v>
      </c>
      <c r="L143" s="2">
        <f t="shared" si="15"/>
        <v>0</v>
      </c>
      <c r="M143" s="9">
        <v>5</v>
      </c>
      <c r="N143" s="9">
        <v>4</v>
      </c>
      <c r="O143">
        <f t="shared" si="16"/>
        <v>-1</v>
      </c>
      <c r="P143" s="9">
        <v>2</v>
      </c>
      <c r="Q143" s="9">
        <v>2</v>
      </c>
      <c r="R143">
        <f t="shared" si="17"/>
        <v>0</v>
      </c>
      <c r="S143">
        <v>1</v>
      </c>
      <c r="T143">
        <v>1</v>
      </c>
      <c r="U143">
        <f t="shared" si="18"/>
        <v>0</v>
      </c>
      <c r="V143">
        <v>1</v>
      </c>
      <c r="W143">
        <v>1</v>
      </c>
      <c r="X143">
        <f t="shared" si="19"/>
        <v>0</v>
      </c>
      <c r="Y143" s="2">
        <v>0</v>
      </c>
      <c r="Z143" s="2">
        <v>0</v>
      </c>
      <c r="AA143" s="2">
        <v>0</v>
      </c>
      <c r="AB143" s="2">
        <f t="shared" si="14"/>
        <v>0</v>
      </c>
      <c r="AC143" s="2">
        <v>0</v>
      </c>
      <c r="AD143" s="2">
        <v>0</v>
      </c>
      <c r="AE143" s="2">
        <v>0</v>
      </c>
      <c r="AF143" s="2">
        <v>1</v>
      </c>
      <c r="AG143" s="2">
        <v>0</v>
      </c>
      <c r="AH143" s="2">
        <v>0</v>
      </c>
      <c r="AI143" s="2">
        <v>1</v>
      </c>
      <c r="AJ143" s="2">
        <v>1</v>
      </c>
      <c r="AK143">
        <f t="shared" si="20"/>
        <v>0</v>
      </c>
      <c r="AL143" t="s">
        <v>42</v>
      </c>
    </row>
    <row r="144" spans="1:38" x14ac:dyDescent="0.35">
      <c r="A144">
        <v>163</v>
      </c>
      <c r="B144" t="s">
        <v>13</v>
      </c>
      <c r="C144">
        <v>1.42</v>
      </c>
      <c r="D144" s="2">
        <v>60</v>
      </c>
      <c r="E144" t="s">
        <v>159</v>
      </c>
      <c r="F144" t="s">
        <v>54</v>
      </c>
      <c r="G144" t="s">
        <v>165</v>
      </c>
      <c r="H144">
        <v>0</v>
      </c>
      <c r="I144" s="13">
        <v>0.5</v>
      </c>
      <c r="J144" s="2">
        <v>3</v>
      </c>
      <c r="K144">
        <v>2</v>
      </c>
      <c r="L144" s="2">
        <f t="shared" si="15"/>
        <v>-1</v>
      </c>
      <c r="M144" s="9">
        <v>8</v>
      </c>
      <c r="N144" s="9">
        <v>5</v>
      </c>
      <c r="O144">
        <f t="shared" si="16"/>
        <v>-3</v>
      </c>
      <c r="P144" s="9">
        <v>1</v>
      </c>
      <c r="Q144" s="9">
        <v>1</v>
      </c>
      <c r="R144">
        <f t="shared" si="17"/>
        <v>0</v>
      </c>
      <c r="S144">
        <v>3</v>
      </c>
      <c r="T144">
        <v>3</v>
      </c>
      <c r="U144">
        <f t="shared" si="18"/>
        <v>0</v>
      </c>
      <c r="V144">
        <v>0</v>
      </c>
      <c r="W144">
        <v>0</v>
      </c>
      <c r="X144">
        <f t="shared" si="19"/>
        <v>0</v>
      </c>
      <c r="Y144" s="2">
        <v>0</v>
      </c>
      <c r="Z144" s="2">
        <v>0</v>
      </c>
      <c r="AA144" s="2">
        <v>0</v>
      </c>
      <c r="AB144" s="2">
        <f t="shared" si="14"/>
        <v>0</v>
      </c>
      <c r="AC144" s="2">
        <v>0</v>
      </c>
      <c r="AD144" s="2">
        <v>0</v>
      </c>
      <c r="AE144" s="2">
        <v>0</v>
      </c>
      <c r="AF144" s="2">
        <v>1</v>
      </c>
      <c r="AG144" s="2">
        <v>0</v>
      </c>
      <c r="AH144" s="2">
        <v>0</v>
      </c>
      <c r="AI144" s="2">
        <v>1</v>
      </c>
      <c r="AJ144" s="2">
        <v>1</v>
      </c>
      <c r="AK144">
        <f t="shared" si="20"/>
        <v>0</v>
      </c>
      <c r="AL144" t="s">
        <v>8</v>
      </c>
    </row>
    <row r="145" spans="1:38" x14ac:dyDescent="0.35">
      <c r="A145">
        <v>164</v>
      </c>
      <c r="B145" t="s">
        <v>15</v>
      </c>
      <c r="C145">
        <v>1.61</v>
      </c>
      <c r="D145" s="2">
        <v>7</v>
      </c>
      <c r="E145" t="s">
        <v>161</v>
      </c>
      <c r="F145" t="s">
        <v>59</v>
      </c>
      <c r="G145" t="s">
        <v>166</v>
      </c>
      <c r="H145">
        <v>0</v>
      </c>
      <c r="I145" s="13">
        <v>0.5</v>
      </c>
      <c r="J145" s="2">
        <v>4</v>
      </c>
      <c r="K145">
        <v>4</v>
      </c>
      <c r="L145" s="2">
        <f t="shared" si="15"/>
        <v>0</v>
      </c>
      <c r="M145" s="9">
        <v>4</v>
      </c>
      <c r="N145" s="9">
        <v>2</v>
      </c>
      <c r="O145">
        <f t="shared" si="16"/>
        <v>-2</v>
      </c>
      <c r="P145" s="9">
        <v>2</v>
      </c>
      <c r="Q145" s="9">
        <v>2</v>
      </c>
      <c r="R145">
        <f t="shared" si="17"/>
        <v>0</v>
      </c>
      <c r="S145">
        <v>3</v>
      </c>
      <c r="T145">
        <v>2</v>
      </c>
      <c r="U145">
        <f t="shared" si="18"/>
        <v>-1</v>
      </c>
      <c r="V145">
        <v>1</v>
      </c>
      <c r="W145">
        <v>1</v>
      </c>
      <c r="X145">
        <f t="shared" si="19"/>
        <v>0</v>
      </c>
      <c r="Y145" s="2">
        <v>0</v>
      </c>
      <c r="Z145" s="2">
        <v>0</v>
      </c>
      <c r="AA145" s="2">
        <v>0</v>
      </c>
      <c r="AB145" s="2">
        <f t="shared" si="14"/>
        <v>0</v>
      </c>
      <c r="AC145" s="2">
        <v>0</v>
      </c>
      <c r="AD145" s="2">
        <v>0</v>
      </c>
      <c r="AE145" s="2">
        <v>0</v>
      </c>
      <c r="AF145" s="2">
        <v>1</v>
      </c>
      <c r="AG145" s="2">
        <v>0</v>
      </c>
      <c r="AH145" s="2">
        <v>0</v>
      </c>
      <c r="AI145" s="2">
        <v>0</v>
      </c>
      <c r="AJ145" s="2">
        <v>0</v>
      </c>
      <c r="AK145">
        <f t="shared" si="20"/>
        <v>0</v>
      </c>
      <c r="AL145" t="s">
        <v>139</v>
      </c>
    </row>
    <row r="146" spans="1:38" x14ac:dyDescent="0.35">
      <c r="A146">
        <v>165</v>
      </c>
      <c r="B146" t="s">
        <v>13</v>
      </c>
      <c r="C146">
        <v>1.42</v>
      </c>
      <c r="D146" s="2">
        <v>4</v>
      </c>
      <c r="E146" t="s">
        <v>159</v>
      </c>
      <c r="F146" t="s">
        <v>54</v>
      </c>
      <c r="G146" t="s">
        <v>166</v>
      </c>
      <c r="H146">
        <v>0</v>
      </c>
      <c r="I146" s="13">
        <v>1</v>
      </c>
      <c r="J146" s="2">
        <v>3</v>
      </c>
      <c r="K146">
        <v>3</v>
      </c>
      <c r="L146" s="2">
        <f t="shared" si="15"/>
        <v>0</v>
      </c>
      <c r="M146" s="9">
        <v>8</v>
      </c>
      <c r="N146" s="9">
        <v>4</v>
      </c>
      <c r="O146">
        <f t="shared" si="16"/>
        <v>-4</v>
      </c>
      <c r="P146" s="9">
        <v>1</v>
      </c>
      <c r="Q146" s="9">
        <v>1</v>
      </c>
      <c r="R146">
        <f t="shared" si="17"/>
        <v>0</v>
      </c>
      <c r="V146">
        <v>0</v>
      </c>
      <c r="W146">
        <v>0</v>
      </c>
      <c r="X146">
        <f t="shared" si="19"/>
        <v>0</v>
      </c>
      <c r="Y146" s="2">
        <v>0</v>
      </c>
      <c r="Z146" s="2">
        <v>1</v>
      </c>
      <c r="AA146" s="2">
        <v>1</v>
      </c>
      <c r="AB146" s="2">
        <f t="shared" si="14"/>
        <v>1</v>
      </c>
      <c r="AC146" s="2">
        <v>0</v>
      </c>
      <c r="AD146" s="2">
        <v>0</v>
      </c>
      <c r="AE146" s="2">
        <v>0</v>
      </c>
      <c r="AF146" s="2">
        <v>0</v>
      </c>
      <c r="AG146" s="2">
        <v>0</v>
      </c>
      <c r="AH146" s="2">
        <v>0</v>
      </c>
      <c r="AI146" s="2">
        <v>1</v>
      </c>
      <c r="AJ146" s="2">
        <v>1</v>
      </c>
      <c r="AK146">
        <f t="shared" si="20"/>
        <v>0</v>
      </c>
      <c r="AL146" t="s">
        <v>136</v>
      </c>
    </row>
    <row r="147" spans="1:38" x14ac:dyDescent="0.35">
      <c r="A147">
        <v>166</v>
      </c>
      <c r="B147" t="s">
        <v>126</v>
      </c>
      <c r="C147" s="9">
        <v>1.81</v>
      </c>
      <c r="D147" s="2">
        <v>12</v>
      </c>
      <c r="E147" t="s">
        <v>60</v>
      </c>
      <c r="F147" t="s">
        <v>58</v>
      </c>
      <c r="G147" t="s">
        <v>165</v>
      </c>
      <c r="H147">
        <v>0</v>
      </c>
      <c r="I147" s="13">
        <v>0.5</v>
      </c>
      <c r="J147" s="2">
        <v>2</v>
      </c>
      <c r="K147">
        <v>2</v>
      </c>
      <c r="L147" s="2">
        <f t="shared" si="15"/>
        <v>0</v>
      </c>
      <c r="M147" s="9">
        <v>8</v>
      </c>
      <c r="N147" s="9">
        <v>9</v>
      </c>
      <c r="O147">
        <f t="shared" si="16"/>
        <v>1</v>
      </c>
      <c r="P147" s="9">
        <v>2</v>
      </c>
      <c r="Q147" s="9">
        <v>2</v>
      </c>
      <c r="R147">
        <f t="shared" si="17"/>
        <v>0</v>
      </c>
      <c r="S147">
        <v>1</v>
      </c>
      <c r="T147">
        <v>3</v>
      </c>
      <c r="U147">
        <f t="shared" si="18"/>
        <v>2</v>
      </c>
      <c r="V147">
        <v>0</v>
      </c>
      <c r="W147">
        <v>0</v>
      </c>
      <c r="X147">
        <f t="shared" si="19"/>
        <v>0</v>
      </c>
      <c r="Y147" s="2">
        <v>0</v>
      </c>
      <c r="Z147" s="2">
        <v>0</v>
      </c>
      <c r="AA147" s="2">
        <v>0</v>
      </c>
      <c r="AB147" s="2">
        <f t="shared" si="14"/>
        <v>0</v>
      </c>
      <c r="AC147" s="2">
        <v>0</v>
      </c>
      <c r="AD147" s="2">
        <v>0</v>
      </c>
      <c r="AE147" s="2">
        <v>0</v>
      </c>
      <c r="AF147" s="2">
        <v>0</v>
      </c>
      <c r="AG147" s="2">
        <v>0</v>
      </c>
      <c r="AH147" s="2">
        <v>0</v>
      </c>
      <c r="AI147" s="2">
        <v>0</v>
      </c>
      <c r="AJ147" s="2">
        <v>1</v>
      </c>
      <c r="AK147">
        <f t="shared" si="20"/>
        <v>0</v>
      </c>
      <c r="AL147" t="s">
        <v>139</v>
      </c>
    </row>
    <row r="148" spans="1:38" x14ac:dyDescent="0.35">
      <c r="A148">
        <v>167</v>
      </c>
      <c r="B148" t="s">
        <v>17</v>
      </c>
      <c r="C148">
        <v>-0.04</v>
      </c>
      <c r="D148" s="2">
        <v>103</v>
      </c>
      <c r="E148" t="s">
        <v>61</v>
      </c>
      <c r="F148" t="s">
        <v>54</v>
      </c>
      <c r="G148" t="s">
        <v>165</v>
      </c>
      <c r="H148">
        <v>0</v>
      </c>
      <c r="I148" s="13">
        <v>0</v>
      </c>
      <c r="J148" s="2">
        <v>4</v>
      </c>
      <c r="K148">
        <v>5</v>
      </c>
      <c r="L148" s="2">
        <f t="shared" si="15"/>
        <v>1</v>
      </c>
      <c r="M148" s="9">
        <v>9</v>
      </c>
      <c r="N148" s="9">
        <v>9</v>
      </c>
      <c r="O148">
        <f t="shared" si="16"/>
        <v>0</v>
      </c>
      <c r="P148" s="9">
        <v>3</v>
      </c>
      <c r="Q148" s="9">
        <v>3</v>
      </c>
      <c r="R148">
        <f t="shared" si="17"/>
        <v>0</v>
      </c>
      <c r="S148">
        <v>1</v>
      </c>
      <c r="T148">
        <v>1</v>
      </c>
      <c r="U148">
        <f t="shared" si="18"/>
        <v>0</v>
      </c>
      <c r="V148">
        <v>-1</v>
      </c>
      <c r="W148">
        <v>0</v>
      </c>
      <c r="X148">
        <f t="shared" si="19"/>
        <v>1</v>
      </c>
      <c r="Y148" s="2">
        <v>0</v>
      </c>
      <c r="Z148" s="2">
        <v>0</v>
      </c>
      <c r="AA148" s="2">
        <v>0</v>
      </c>
      <c r="AB148" s="2">
        <f t="shared" si="14"/>
        <v>0</v>
      </c>
      <c r="AC148" s="2">
        <v>0</v>
      </c>
      <c r="AD148" s="2">
        <v>0</v>
      </c>
      <c r="AE148" s="2">
        <v>0</v>
      </c>
      <c r="AF148" s="2">
        <v>1</v>
      </c>
      <c r="AG148" s="2">
        <v>0</v>
      </c>
      <c r="AH148" s="2">
        <v>0</v>
      </c>
      <c r="AI148" s="2">
        <v>0</v>
      </c>
      <c r="AJ148" s="2">
        <v>0</v>
      </c>
      <c r="AK148">
        <f t="shared" si="20"/>
        <v>0</v>
      </c>
      <c r="AL148" t="s">
        <v>139</v>
      </c>
    </row>
    <row r="149" spans="1:38" x14ac:dyDescent="0.35">
      <c r="A149">
        <v>169</v>
      </c>
      <c r="B149" t="s">
        <v>15</v>
      </c>
      <c r="C149">
        <v>1.61</v>
      </c>
      <c r="D149" s="2">
        <v>71</v>
      </c>
      <c r="E149" t="s">
        <v>51</v>
      </c>
      <c r="F149" t="s">
        <v>55</v>
      </c>
      <c r="G149" t="s">
        <v>165</v>
      </c>
      <c r="H149">
        <v>0</v>
      </c>
      <c r="I149" s="13">
        <v>0</v>
      </c>
      <c r="J149" s="2">
        <v>1</v>
      </c>
      <c r="K149">
        <v>1</v>
      </c>
      <c r="L149" s="2">
        <f t="shared" si="15"/>
        <v>0</v>
      </c>
      <c r="M149" s="9">
        <v>7</v>
      </c>
      <c r="N149" s="9">
        <v>8</v>
      </c>
      <c r="O149">
        <f t="shared" si="16"/>
        <v>1</v>
      </c>
      <c r="P149" s="9">
        <v>1</v>
      </c>
      <c r="Q149" s="9">
        <v>1</v>
      </c>
      <c r="R149">
        <f t="shared" si="17"/>
        <v>0</v>
      </c>
      <c r="S149">
        <v>1</v>
      </c>
      <c r="T149">
        <v>1</v>
      </c>
      <c r="U149">
        <f t="shared" si="18"/>
        <v>0</v>
      </c>
      <c r="V149">
        <v>2</v>
      </c>
      <c r="W149">
        <v>1</v>
      </c>
      <c r="X149">
        <f t="shared" si="19"/>
        <v>-1</v>
      </c>
      <c r="Y149" s="2">
        <v>0</v>
      </c>
      <c r="Z149" s="2">
        <v>0</v>
      </c>
      <c r="AA149" s="2">
        <v>0</v>
      </c>
      <c r="AB149" s="2">
        <f t="shared" si="14"/>
        <v>0</v>
      </c>
      <c r="AC149" s="2">
        <v>0</v>
      </c>
      <c r="AD149" s="2">
        <v>0</v>
      </c>
      <c r="AE149" s="2">
        <v>0</v>
      </c>
      <c r="AF149" s="2">
        <v>1</v>
      </c>
      <c r="AG149" s="2">
        <v>0</v>
      </c>
      <c r="AH149" s="2">
        <v>0</v>
      </c>
      <c r="AI149" s="2">
        <v>0</v>
      </c>
      <c r="AJ149" s="2">
        <v>0</v>
      </c>
      <c r="AK149">
        <f t="shared" si="20"/>
        <v>0</v>
      </c>
      <c r="AL149" t="s">
        <v>139</v>
      </c>
    </row>
    <row r="150" spans="1:38" x14ac:dyDescent="0.35">
      <c r="A150">
        <v>170</v>
      </c>
      <c r="B150" t="s">
        <v>17</v>
      </c>
      <c r="C150">
        <v>-0.04</v>
      </c>
      <c r="D150" s="2">
        <v>40</v>
      </c>
      <c r="E150" t="s">
        <v>61</v>
      </c>
      <c r="F150" t="s">
        <v>58</v>
      </c>
      <c r="G150" t="s">
        <v>165</v>
      </c>
      <c r="H150">
        <v>0</v>
      </c>
      <c r="I150" s="13">
        <v>0.25</v>
      </c>
      <c r="J150" s="2">
        <v>3</v>
      </c>
      <c r="K150">
        <v>4</v>
      </c>
      <c r="L150" s="2">
        <f t="shared" si="15"/>
        <v>1</v>
      </c>
      <c r="M150" s="9">
        <v>5</v>
      </c>
      <c r="N150" s="9">
        <v>5</v>
      </c>
      <c r="O150">
        <f t="shared" si="16"/>
        <v>0</v>
      </c>
      <c r="P150" s="9">
        <v>2</v>
      </c>
      <c r="Q150" s="9">
        <v>2</v>
      </c>
      <c r="R150">
        <f t="shared" si="17"/>
        <v>0</v>
      </c>
      <c r="S150">
        <v>1</v>
      </c>
      <c r="T150">
        <v>1</v>
      </c>
      <c r="U150">
        <f t="shared" si="18"/>
        <v>0</v>
      </c>
      <c r="V150">
        <v>2</v>
      </c>
      <c r="W150">
        <v>1</v>
      </c>
      <c r="X150">
        <f t="shared" si="19"/>
        <v>-1</v>
      </c>
      <c r="Y150" s="2">
        <v>1</v>
      </c>
      <c r="Z150" s="2">
        <v>1</v>
      </c>
      <c r="AA150" s="2">
        <v>0</v>
      </c>
      <c r="AB150" s="2">
        <f t="shared" si="14"/>
        <v>1</v>
      </c>
      <c r="AC150" s="2">
        <v>1</v>
      </c>
      <c r="AD150" s="2">
        <v>0</v>
      </c>
      <c r="AE150" s="2">
        <v>0</v>
      </c>
      <c r="AF150" s="2">
        <v>1</v>
      </c>
      <c r="AG150" s="2">
        <v>0</v>
      </c>
      <c r="AH150" s="2">
        <v>1</v>
      </c>
      <c r="AI150" s="2">
        <v>0</v>
      </c>
      <c r="AJ150" s="2">
        <v>0</v>
      </c>
      <c r="AK150">
        <f t="shared" si="20"/>
        <v>0</v>
      </c>
      <c r="AL150" t="s">
        <v>46</v>
      </c>
    </row>
    <row r="151" spans="1:38" x14ac:dyDescent="0.35">
      <c r="A151">
        <v>171</v>
      </c>
      <c r="B151" t="s">
        <v>126</v>
      </c>
      <c r="C151" s="9">
        <v>1.81</v>
      </c>
      <c r="D151" s="2">
        <v>4</v>
      </c>
      <c r="E151" t="s">
        <v>60</v>
      </c>
      <c r="F151" t="s">
        <v>58</v>
      </c>
      <c r="G151" t="s">
        <v>165</v>
      </c>
      <c r="H151">
        <v>0</v>
      </c>
      <c r="I151" s="13">
        <v>0.25</v>
      </c>
      <c r="J151" s="2">
        <v>3</v>
      </c>
      <c r="K151">
        <v>3</v>
      </c>
      <c r="L151" s="2">
        <f t="shared" si="15"/>
        <v>0</v>
      </c>
      <c r="M151" s="9">
        <v>8</v>
      </c>
      <c r="N151" s="9">
        <v>8</v>
      </c>
      <c r="O151">
        <f t="shared" si="16"/>
        <v>0</v>
      </c>
      <c r="P151" s="9">
        <v>2</v>
      </c>
      <c r="Q151" s="9">
        <v>2</v>
      </c>
      <c r="R151">
        <f t="shared" si="17"/>
        <v>0</v>
      </c>
      <c r="S151">
        <v>4</v>
      </c>
      <c r="T151">
        <v>4</v>
      </c>
      <c r="U151">
        <f t="shared" si="18"/>
        <v>0</v>
      </c>
      <c r="V151">
        <v>1</v>
      </c>
      <c r="W151">
        <v>1</v>
      </c>
      <c r="X151">
        <f t="shared" si="19"/>
        <v>0</v>
      </c>
      <c r="Y151" s="2">
        <v>0</v>
      </c>
      <c r="Z151" s="2">
        <v>0</v>
      </c>
      <c r="AA151" s="2">
        <v>0</v>
      </c>
      <c r="AB151" s="2">
        <f t="shared" si="14"/>
        <v>0</v>
      </c>
      <c r="AC151" s="2">
        <v>0</v>
      </c>
      <c r="AD151" s="2">
        <v>1</v>
      </c>
      <c r="AE151" s="2">
        <v>0</v>
      </c>
      <c r="AF151" s="2">
        <v>1</v>
      </c>
      <c r="AG151" s="2">
        <v>0</v>
      </c>
      <c r="AH151" s="2">
        <v>1</v>
      </c>
      <c r="AI151" s="2">
        <v>1</v>
      </c>
      <c r="AJ151" s="2">
        <v>1</v>
      </c>
      <c r="AK151">
        <f t="shared" si="20"/>
        <v>0</v>
      </c>
      <c r="AL151" t="s">
        <v>5</v>
      </c>
    </row>
    <row r="152" spans="1:38" x14ac:dyDescent="0.35">
      <c r="A152">
        <v>172</v>
      </c>
      <c r="B152" t="s">
        <v>126</v>
      </c>
      <c r="C152" s="9">
        <v>1.81</v>
      </c>
      <c r="D152" s="2">
        <v>15</v>
      </c>
      <c r="E152" t="s">
        <v>60</v>
      </c>
      <c r="F152" t="s">
        <v>52</v>
      </c>
      <c r="G152" t="s">
        <v>165</v>
      </c>
      <c r="H152">
        <v>0</v>
      </c>
      <c r="I152" s="13">
        <v>1</v>
      </c>
      <c r="J152" s="2">
        <v>3</v>
      </c>
      <c r="K152">
        <v>3</v>
      </c>
      <c r="L152" s="2">
        <f t="shared" si="15"/>
        <v>0</v>
      </c>
      <c r="M152" s="9">
        <v>9</v>
      </c>
      <c r="N152" s="9">
        <v>6</v>
      </c>
      <c r="O152">
        <f t="shared" si="16"/>
        <v>-3</v>
      </c>
      <c r="P152" s="9">
        <v>1</v>
      </c>
      <c r="Q152" s="9">
        <v>1</v>
      </c>
      <c r="R152">
        <f t="shared" si="17"/>
        <v>0</v>
      </c>
      <c r="S152">
        <v>4</v>
      </c>
      <c r="T152">
        <v>3</v>
      </c>
      <c r="U152">
        <f t="shared" si="18"/>
        <v>-1</v>
      </c>
      <c r="V152">
        <v>1</v>
      </c>
      <c r="W152">
        <v>1</v>
      </c>
      <c r="X152">
        <f t="shared" si="19"/>
        <v>0</v>
      </c>
      <c r="Y152" s="2">
        <v>0</v>
      </c>
      <c r="Z152" s="2">
        <v>1</v>
      </c>
      <c r="AA152" s="2">
        <v>0</v>
      </c>
      <c r="AB152" s="2">
        <f t="shared" si="14"/>
        <v>1</v>
      </c>
      <c r="AC152" s="2">
        <v>0</v>
      </c>
      <c r="AD152" s="2">
        <v>0</v>
      </c>
      <c r="AE152" s="2">
        <v>0</v>
      </c>
      <c r="AF152" s="2">
        <v>0</v>
      </c>
      <c r="AG152" s="2">
        <v>0</v>
      </c>
      <c r="AH152" s="2">
        <v>0</v>
      </c>
      <c r="AI152" s="2">
        <v>0</v>
      </c>
      <c r="AJ152" s="2">
        <v>0</v>
      </c>
      <c r="AK152">
        <f t="shared" si="20"/>
        <v>0</v>
      </c>
      <c r="AL152" t="s">
        <v>135</v>
      </c>
    </row>
    <row r="153" spans="1:38" x14ac:dyDescent="0.35">
      <c r="A153">
        <v>173</v>
      </c>
      <c r="B153" t="s">
        <v>13</v>
      </c>
      <c r="C153">
        <v>1.42</v>
      </c>
      <c r="D153" s="2">
        <v>4</v>
      </c>
      <c r="E153" t="s">
        <v>159</v>
      </c>
      <c r="F153" t="s">
        <v>52</v>
      </c>
      <c r="G153" t="s">
        <v>165</v>
      </c>
      <c r="H153">
        <v>0</v>
      </c>
      <c r="I153" s="13">
        <v>0</v>
      </c>
      <c r="J153" s="2">
        <v>3</v>
      </c>
      <c r="K153">
        <v>3</v>
      </c>
      <c r="L153" s="2">
        <f t="shared" si="15"/>
        <v>0</v>
      </c>
      <c r="M153" s="9">
        <v>10</v>
      </c>
      <c r="N153" s="9">
        <v>10</v>
      </c>
      <c r="O153">
        <f t="shared" si="16"/>
        <v>0</v>
      </c>
      <c r="P153" s="9">
        <v>3</v>
      </c>
      <c r="Q153" s="9">
        <v>3</v>
      </c>
      <c r="R153">
        <f t="shared" si="17"/>
        <v>0</v>
      </c>
      <c r="S153">
        <v>1</v>
      </c>
      <c r="T153">
        <v>1</v>
      </c>
      <c r="U153">
        <f t="shared" si="18"/>
        <v>0</v>
      </c>
      <c r="V153">
        <v>0</v>
      </c>
      <c r="W153">
        <v>0</v>
      </c>
      <c r="X153">
        <f t="shared" si="19"/>
        <v>0</v>
      </c>
      <c r="Y153" s="2">
        <v>0</v>
      </c>
      <c r="Z153" s="2">
        <v>0</v>
      </c>
      <c r="AA153" s="2">
        <v>0</v>
      </c>
      <c r="AB153" s="2">
        <f t="shared" si="14"/>
        <v>0</v>
      </c>
      <c r="AC153" s="2">
        <v>0</v>
      </c>
      <c r="AD153" s="2">
        <v>0</v>
      </c>
      <c r="AE153" s="2">
        <v>0</v>
      </c>
      <c r="AF153" s="2">
        <v>0</v>
      </c>
      <c r="AG153" s="2">
        <v>0</v>
      </c>
      <c r="AH153" s="2">
        <v>0</v>
      </c>
      <c r="AI153" s="2">
        <v>0</v>
      </c>
      <c r="AJ153" s="2">
        <v>0</v>
      </c>
      <c r="AK153">
        <f t="shared" si="20"/>
        <v>1</v>
      </c>
      <c r="AL153" t="s">
        <v>139</v>
      </c>
    </row>
    <row r="154" spans="1:38" x14ac:dyDescent="0.35">
      <c r="A154">
        <v>174</v>
      </c>
      <c r="B154" t="s">
        <v>13</v>
      </c>
      <c r="C154">
        <v>1.42</v>
      </c>
      <c r="D154" s="2">
        <v>60</v>
      </c>
      <c r="E154" t="s">
        <v>159</v>
      </c>
      <c r="F154" t="s">
        <v>54</v>
      </c>
      <c r="G154" t="s">
        <v>165</v>
      </c>
      <c r="H154">
        <v>0</v>
      </c>
      <c r="I154" s="13">
        <v>1</v>
      </c>
      <c r="J154" s="2">
        <v>5</v>
      </c>
      <c r="K154">
        <v>5</v>
      </c>
      <c r="L154" s="2">
        <f t="shared" si="15"/>
        <v>0</v>
      </c>
      <c r="M154" s="9">
        <v>10</v>
      </c>
      <c r="N154" s="9">
        <v>1</v>
      </c>
      <c r="O154">
        <f t="shared" si="16"/>
        <v>-9</v>
      </c>
      <c r="P154" s="9">
        <v>3</v>
      </c>
      <c r="Q154" s="9">
        <v>3</v>
      </c>
      <c r="R154">
        <f t="shared" si="17"/>
        <v>0</v>
      </c>
      <c r="S154">
        <v>2</v>
      </c>
      <c r="T154">
        <v>2</v>
      </c>
      <c r="U154">
        <f t="shared" si="18"/>
        <v>0</v>
      </c>
      <c r="V154">
        <v>0</v>
      </c>
      <c r="W154">
        <v>0</v>
      </c>
      <c r="X154">
        <f t="shared" si="19"/>
        <v>0</v>
      </c>
      <c r="Y154" s="2">
        <v>0</v>
      </c>
      <c r="Z154" s="2">
        <v>1</v>
      </c>
      <c r="AA154" s="2">
        <v>1</v>
      </c>
      <c r="AB154" s="2">
        <f t="shared" si="14"/>
        <v>1</v>
      </c>
      <c r="AC154" s="2">
        <v>0</v>
      </c>
      <c r="AD154" s="2">
        <v>1</v>
      </c>
      <c r="AE154" s="2">
        <v>0</v>
      </c>
      <c r="AF154" s="2">
        <v>1</v>
      </c>
      <c r="AG154" s="2">
        <v>0</v>
      </c>
      <c r="AH154" s="2">
        <v>0</v>
      </c>
      <c r="AI154" s="2">
        <v>0</v>
      </c>
      <c r="AJ154" s="2">
        <v>0</v>
      </c>
      <c r="AK154">
        <f t="shared" si="20"/>
        <v>0</v>
      </c>
      <c r="AL154" t="s">
        <v>135</v>
      </c>
    </row>
    <row r="155" spans="1:38" x14ac:dyDescent="0.35">
      <c r="A155">
        <v>175</v>
      </c>
      <c r="B155" t="s">
        <v>17</v>
      </c>
      <c r="C155">
        <v>-0.04</v>
      </c>
      <c r="D155" s="2">
        <v>60</v>
      </c>
      <c r="E155" t="s">
        <v>159</v>
      </c>
      <c r="F155" t="s">
        <v>58</v>
      </c>
      <c r="G155" t="s">
        <v>166</v>
      </c>
      <c r="H155">
        <v>0</v>
      </c>
      <c r="I155" s="13">
        <v>0.25</v>
      </c>
      <c r="J155" s="2">
        <v>10</v>
      </c>
      <c r="K155">
        <v>9</v>
      </c>
      <c r="L155" s="2">
        <f t="shared" si="15"/>
        <v>-1</v>
      </c>
      <c r="M155" s="9">
        <v>7</v>
      </c>
      <c r="N155" s="9">
        <v>6</v>
      </c>
      <c r="O155">
        <f t="shared" si="16"/>
        <v>-1</v>
      </c>
      <c r="P155" s="9">
        <v>3</v>
      </c>
      <c r="Q155" s="9">
        <v>3</v>
      </c>
      <c r="R155">
        <f t="shared" si="17"/>
        <v>0</v>
      </c>
      <c r="S155">
        <v>4</v>
      </c>
      <c r="T155">
        <v>3</v>
      </c>
      <c r="U155">
        <f t="shared" si="18"/>
        <v>-1</v>
      </c>
      <c r="V155">
        <v>1</v>
      </c>
      <c r="W155">
        <v>1</v>
      </c>
      <c r="X155">
        <f t="shared" si="19"/>
        <v>0</v>
      </c>
      <c r="Y155" s="2">
        <v>0</v>
      </c>
      <c r="Z155" s="2">
        <v>0</v>
      </c>
      <c r="AA155" s="2">
        <v>0</v>
      </c>
      <c r="AB155" s="2">
        <f t="shared" si="14"/>
        <v>0</v>
      </c>
      <c r="AC155" s="2">
        <v>0</v>
      </c>
      <c r="AD155" s="2">
        <v>1</v>
      </c>
      <c r="AE155" s="2">
        <v>0</v>
      </c>
      <c r="AF155" s="2">
        <v>1</v>
      </c>
      <c r="AG155" s="2">
        <v>0</v>
      </c>
      <c r="AH155" s="2">
        <v>0</v>
      </c>
      <c r="AI155" s="2">
        <v>1</v>
      </c>
      <c r="AJ155" s="2">
        <v>0</v>
      </c>
      <c r="AK155">
        <f t="shared" si="20"/>
        <v>0</v>
      </c>
      <c r="AL155" t="s">
        <v>5</v>
      </c>
    </row>
    <row r="156" spans="1:38" x14ac:dyDescent="0.35">
      <c r="A156">
        <v>176</v>
      </c>
      <c r="B156" t="s">
        <v>126</v>
      </c>
      <c r="C156" s="9">
        <v>1.81</v>
      </c>
      <c r="D156" s="2">
        <v>95</v>
      </c>
      <c r="E156" t="s">
        <v>60</v>
      </c>
      <c r="F156" t="s">
        <v>52</v>
      </c>
      <c r="G156" t="s">
        <v>166</v>
      </c>
      <c r="H156">
        <v>0</v>
      </c>
      <c r="I156" s="13">
        <v>0.75</v>
      </c>
      <c r="J156" s="2">
        <v>4</v>
      </c>
      <c r="K156">
        <v>4</v>
      </c>
      <c r="L156" s="2">
        <f t="shared" si="15"/>
        <v>0</v>
      </c>
      <c r="M156" s="9">
        <v>7</v>
      </c>
      <c r="N156" s="9">
        <v>7</v>
      </c>
      <c r="O156">
        <f t="shared" si="16"/>
        <v>0</v>
      </c>
      <c r="P156" s="9">
        <v>1</v>
      </c>
      <c r="Q156" s="9">
        <v>1</v>
      </c>
      <c r="R156">
        <f t="shared" si="17"/>
        <v>0</v>
      </c>
      <c r="S156">
        <v>1</v>
      </c>
      <c r="T156">
        <v>3</v>
      </c>
      <c r="U156">
        <f t="shared" si="18"/>
        <v>2</v>
      </c>
      <c r="V156">
        <v>1</v>
      </c>
      <c r="W156">
        <v>1</v>
      </c>
      <c r="X156">
        <f t="shared" si="19"/>
        <v>0</v>
      </c>
      <c r="Y156" s="2">
        <v>0</v>
      </c>
      <c r="Z156" s="2">
        <v>1</v>
      </c>
      <c r="AA156" s="2">
        <v>0</v>
      </c>
      <c r="AB156" s="2">
        <f t="shared" si="14"/>
        <v>1</v>
      </c>
      <c r="AC156" s="2">
        <v>0</v>
      </c>
      <c r="AD156" s="2">
        <v>1</v>
      </c>
      <c r="AE156" s="2">
        <v>1</v>
      </c>
      <c r="AF156" s="2">
        <v>1</v>
      </c>
      <c r="AG156" s="2">
        <v>0</v>
      </c>
      <c r="AH156" s="2">
        <v>0</v>
      </c>
      <c r="AI156" s="2">
        <v>0</v>
      </c>
      <c r="AJ156" s="2">
        <v>1</v>
      </c>
      <c r="AK156">
        <f t="shared" si="20"/>
        <v>0</v>
      </c>
      <c r="AL156" t="s">
        <v>135</v>
      </c>
    </row>
    <row r="157" spans="1:38" x14ac:dyDescent="0.35">
      <c r="A157">
        <v>177</v>
      </c>
      <c r="B157" t="s">
        <v>13</v>
      </c>
      <c r="C157">
        <v>1.42</v>
      </c>
      <c r="D157" s="2">
        <v>3</v>
      </c>
      <c r="E157" t="s">
        <v>159</v>
      </c>
      <c r="F157" t="s">
        <v>52</v>
      </c>
      <c r="G157" t="s">
        <v>165</v>
      </c>
      <c r="H157">
        <v>0</v>
      </c>
      <c r="I157" s="13">
        <v>0</v>
      </c>
      <c r="J157" s="2">
        <v>5</v>
      </c>
      <c r="K157">
        <v>5</v>
      </c>
      <c r="L157" s="2">
        <f t="shared" si="15"/>
        <v>0</v>
      </c>
      <c r="M157" s="9">
        <v>7</v>
      </c>
      <c r="N157" s="9">
        <v>5</v>
      </c>
      <c r="O157">
        <f t="shared" si="16"/>
        <v>-2</v>
      </c>
      <c r="P157" s="9">
        <v>1</v>
      </c>
      <c r="Q157" s="9">
        <v>1</v>
      </c>
      <c r="R157">
        <f t="shared" si="17"/>
        <v>0</v>
      </c>
      <c r="S157">
        <v>5</v>
      </c>
      <c r="T157">
        <v>5</v>
      </c>
      <c r="U157">
        <f t="shared" si="18"/>
        <v>0</v>
      </c>
      <c r="V157">
        <v>1</v>
      </c>
      <c r="W157">
        <v>1</v>
      </c>
      <c r="X157">
        <f t="shared" si="19"/>
        <v>0</v>
      </c>
      <c r="Y157" s="2">
        <v>0</v>
      </c>
      <c r="Z157" s="2">
        <v>0</v>
      </c>
      <c r="AA157" s="2">
        <v>0</v>
      </c>
      <c r="AB157" s="2">
        <f t="shared" si="14"/>
        <v>0</v>
      </c>
      <c r="AC157" s="2">
        <v>0</v>
      </c>
      <c r="AD157" s="2">
        <v>1</v>
      </c>
      <c r="AE157" s="2">
        <v>0</v>
      </c>
      <c r="AF157" s="2">
        <v>1</v>
      </c>
      <c r="AG157" s="2">
        <v>0</v>
      </c>
      <c r="AH157" s="2">
        <v>0</v>
      </c>
      <c r="AI157" s="2">
        <v>1</v>
      </c>
      <c r="AJ157" s="2">
        <v>0</v>
      </c>
      <c r="AK157">
        <f t="shared" si="20"/>
        <v>0</v>
      </c>
      <c r="AL157" t="s">
        <v>5</v>
      </c>
    </row>
    <row r="158" spans="1:38" x14ac:dyDescent="0.35">
      <c r="A158">
        <v>178</v>
      </c>
      <c r="B158" t="s">
        <v>126</v>
      </c>
      <c r="C158" s="9">
        <v>1.81</v>
      </c>
      <c r="D158" s="2">
        <v>21</v>
      </c>
      <c r="E158" t="s">
        <v>60</v>
      </c>
      <c r="F158" t="s">
        <v>52</v>
      </c>
      <c r="G158" t="s">
        <v>165</v>
      </c>
      <c r="H158">
        <v>0</v>
      </c>
      <c r="I158" s="13">
        <v>0.75</v>
      </c>
      <c r="J158" s="2">
        <v>3</v>
      </c>
      <c r="K158">
        <v>3</v>
      </c>
      <c r="L158" s="2">
        <f t="shared" si="15"/>
        <v>0</v>
      </c>
      <c r="M158" s="9">
        <v>9</v>
      </c>
      <c r="N158" s="9">
        <v>8</v>
      </c>
      <c r="O158">
        <f t="shared" si="16"/>
        <v>-1</v>
      </c>
      <c r="P158" s="9">
        <v>3</v>
      </c>
      <c r="Q158" s="9">
        <v>3</v>
      </c>
      <c r="R158">
        <f t="shared" si="17"/>
        <v>0</v>
      </c>
      <c r="S158">
        <v>3</v>
      </c>
      <c r="T158">
        <v>3</v>
      </c>
      <c r="U158">
        <f t="shared" si="18"/>
        <v>0</v>
      </c>
      <c r="V158">
        <v>2</v>
      </c>
      <c r="W158">
        <v>2</v>
      </c>
      <c r="X158">
        <f t="shared" si="19"/>
        <v>0</v>
      </c>
      <c r="Y158" s="2">
        <v>0</v>
      </c>
      <c r="Z158" s="2">
        <v>1</v>
      </c>
      <c r="AA158" s="2">
        <v>1</v>
      </c>
      <c r="AB158" s="2">
        <f t="shared" si="14"/>
        <v>1</v>
      </c>
      <c r="AC158" s="2">
        <v>1</v>
      </c>
      <c r="AD158" s="2">
        <v>0</v>
      </c>
      <c r="AE158" s="2">
        <v>0</v>
      </c>
      <c r="AF158" s="2">
        <v>1</v>
      </c>
      <c r="AG158" s="2">
        <v>0</v>
      </c>
      <c r="AH158" s="2">
        <v>0</v>
      </c>
      <c r="AI158" s="2">
        <v>0</v>
      </c>
      <c r="AJ158" s="2">
        <v>1</v>
      </c>
      <c r="AK158">
        <f t="shared" si="20"/>
        <v>0</v>
      </c>
      <c r="AL158" t="s">
        <v>135</v>
      </c>
    </row>
    <row r="159" spans="1:38" x14ac:dyDescent="0.35">
      <c r="A159">
        <v>179</v>
      </c>
      <c r="B159" t="s">
        <v>17</v>
      </c>
      <c r="C159">
        <v>-0.04</v>
      </c>
      <c r="D159" s="2">
        <v>60</v>
      </c>
      <c r="E159" t="s">
        <v>159</v>
      </c>
      <c r="F159" t="s">
        <v>52</v>
      </c>
      <c r="G159" t="s">
        <v>165</v>
      </c>
      <c r="H159">
        <v>0</v>
      </c>
      <c r="I159" s="13">
        <v>0.25</v>
      </c>
      <c r="J159" s="2">
        <v>9</v>
      </c>
      <c r="K159">
        <v>9</v>
      </c>
      <c r="L159" s="2">
        <f t="shared" si="15"/>
        <v>0</v>
      </c>
      <c r="M159" s="9">
        <v>4</v>
      </c>
      <c r="N159" s="9">
        <v>4</v>
      </c>
      <c r="O159">
        <f t="shared" si="16"/>
        <v>0</v>
      </c>
      <c r="P159" s="9">
        <v>1</v>
      </c>
      <c r="Q159" s="9">
        <v>1</v>
      </c>
      <c r="R159">
        <f t="shared" si="17"/>
        <v>0</v>
      </c>
      <c r="S159">
        <v>1</v>
      </c>
      <c r="T159">
        <v>3</v>
      </c>
      <c r="U159">
        <f t="shared" si="18"/>
        <v>2</v>
      </c>
      <c r="V159">
        <v>2</v>
      </c>
      <c r="W159">
        <v>2</v>
      </c>
      <c r="X159">
        <f t="shared" si="19"/>
        <v>0</v>
      </c>
      <c r="Y159" s="2">
        <v>0</v>
      </c>
      <c r="Z159" s="2">
        <v>0</v>
      </c>
      <c r="AA159" s="2">
        <v>0</v>
      </c>
      <c r="AB159" s="2">
        <f t="shared" si="14"/>
        <v>0</v>
      </c>
      <c r="AC159" s="2">
        <v>0</v>
      </c>
      <c r="AD159" s="2">
        <v>1</v>
      </c>
      <c r="AE159" s="2">
        <v>0</v>
      </c>
      <c r="AF159" s="2">
        <v>0</v>
      </c>
      <c r="AG159" s="2">
        <v>0</v>
      </c>
      <c r="AH159" s="2">
        <v>0</v>
      </c>
      <c r="AI159" s="2">
        <v>1</v>
      </c>
      <c r="AJ159" s="2">
        <v>1</v>
      </c>
      <c r="AK159">
        <f t="shared" si="20"/>
        <v>0</v>
      </c>
      <c r="AL159" t="s">
        <v>5</v>
      </c>
    </row>
    <row r="160" spans="1:38" x14ac:dyDescent="0.35">
      <c r="A160">
        <v>180</v>
      </c>
      <c r="B160" t="s">
        <v>164</v>
      </c>
      <c r="C160">
        <v>1.47</v>
      </c>
      <c r="D160" s="5">
        <v>14</v>
      </c>
      <c r="E160" t="s">
        <v>161</v>
      </c>
      <c r="F160" t="s">
        <v>55</v>
      </c>
      <c r="G160" t="s">
        <v>165</v>
      </c>
      <c r="H160">
        <v>0</v>
      </c>
      <c r="I160" s="13">
        <v>0</v>
      </c>
      <c r="J160" s="2">
        <v>7</v>
      </c>
      <c r="K160">
        <v>7</v>
      </c>
      <c r="L160" s="2">
        <f t="shared" si="15"/>
        <v>0</v>
      </c>
      <c r="M160" s="9">
        <v>6</v>
      </c>
      <c r="N160" s="9">
        <v>6</v>
      </c>
      <c r="O160">
        <f t="shared" si="16"/>
        <v>0</v>
      </c>
      <c r="P160" s="9">
        <v>3</v>
      </c>
      <c r="Q160" s="9">
        <v>3</v>
      </c>
      <c r="R160">
        <f t="shared" si="17"/>
        <v>0</v>
      </c>
      <c r="S160">
        <v>3</v>
      </c>
      <c r="T160">
        <v>1</v>
      </c>
      <c r="U160">
        <f t="shared" si="18"/>
        <v>-2</v>
      </c>
      <c r="V160">
        <v>0</v>
      </c>
      <c r="W160">
        <v>0</v>
      </c>
      <c r="X160">
        <f t="shared" si="19"/>
        <v>0</v>
      </c>
      <c r="Y160" s="2">
        <v>0</v>
      </c>
      <c r="Z160" s="2">
        <v>0</v>
      </c>
      <c r="AA160" s="2">
        <v>0</v>
      </c>
      <c r="AB160" s="2">
        <f t="shared" si="14"/>
        <v>0</v>
      </c>
      <c r="AC160" s="2">
        <v>0</v>
      </c>
      <c r="AD160" s="2">
        <v>1</v>
      </c>
      <c r="AE160" s="2">
        <v>0</v>
      </c>
      <c r="AF160" s="2">
        <v>1</v>
      </c>
      <c r="AG160" s="2">
        <v>0</v>
      </c>
      <c r="AH160" s="2">
        <v>0</v>
      </c>
      <c r="AI160" s="2">
        <v>0</v>
      </c>
      <c r="AJ160" s="2">
        <v>0</v>
      </c>
      <c r="AK160">
        <f t="shared" si="20"/>
        <v>0</v>
      </c>
      <c r="AL160" s="9" t="s">
        <v>5</v>
      </c>
    </row>
    <row r="161" spans="1:38" x14ac:dyDescent="0.35">
      <c r="A161">
        <v>181</v>
      </c>
      <c r="B161" t="s">
        <v>17</v>
      </c>
      <c r="C161">
        <v>-0.04</v>
      </c>
      <c r="D161" s="2">
        <v>60</v>
      </c>
      <c r="E161" t="s">
        <v>159</v>
      </c>
      <c r="F161" t="s">
        <v>52</v>
      </c>
      <c r="G161" t="s">
        <v>166</v>
      </c>
      <c r="H161">
        <v>0</v>
      </c>
      <c r="I161" s="13">
        <v>0.5</v>
      </c>
      <c r="J161" s="2">
        <v>3</v>
      </c>
      <c r="K161">
        <v>3</v>
      </c>
      <c r="L161" s="2">
        <f t="shared" si="15"/>
        <v>0</v>
      </c>
      <c r="M161" s="9">
        <v>6</v>
      </c>
      <c r="N161" s="9">
        <v>6</v>
      </c>
      <c r="O161">
        <f t="shared" si="16"/>
        <v>0</v>
      </c>
      <c r="P161" s="9">
        <v>1</v>
      </c>
      <c r="Q161" s="9">
        <v>1</v>
      </c>
      <c r="R161">
        <f t="shared" si="17"/>
        <v>0</v>
      </c>
      <c r="S161">
        <v>2</v>
      </c>
      <c r="T161">
        <v>2</v>
      </c>
      <c r="U161">
        <f t="shared" si="18"/>
        <v>0</v>
      </c>
      <c r="V161">
        <v>1</v>
      </c>
      <c r="W161">
        <v>1</v>
      </c>
      <c r="X161">
        <f t="shared" si="19"/>
        <v>0</v>
      </c>
      <c r="Y161" s="2">
        <v>0</v>
      </c>
      <c r="Z161" s="2">
        <v>0</v>
      </c>
      <c r="AA161" s="2">
        <v>0</v>
      </c>
      <c r="AB161" s="2">
        <f t="shared" si="14"/>
        <v>0</v>
      </c>
      <c r="AC161" s="2">
        <v>0</v>
      </c>
      <c r="AD161" s="2">
        <v>1</v>
      </c>
      <c r="AE161" s="2">
        <v>0</v>
      </c>
      <c r="AF161" s="2">
        <v>1</v>
      </c>
      <c r="AG161" s="2">
        <v>0</v>
      </c>
      <c r="AH161" s="2">
        <v>0</v>
      </c>
      <c r="AI161" s="2">
        <v>1</v>
      </c>
      <c r="AJ161" s="2">
        <v>0</v>
      </c>
      <c r="AK161">
        <f t="shared" si="20"/>
        <v>0</v>
      </c>
      <c r="AL161" t="s">
        <v>5</v>
      </c>
    </row>
    <row r="162" spans="1:38" x14ac:dyDescent="0.35">
      <c r="A162">
        <v>182</v>
      </c>
      <c r="B162" t="s">
        <v>17</v>
      </c>
      <c r="C162">
        <v>-0.04</v>
      </c>
      <c r="D162" s="2">
        <v>103</v>
      </c>
      <c r="E162" t="s">
        <v>159</v>
      </c>
      <c r="F162" t="s">
        <v>52</v>
      </c>
      <c r="G162" t="s">
        <v>165</v>
      </c>
      <c r="H162">
        <v>0</v>
      </c>
      <c r="I162" s="13">
        <v>0.25</v>
      </c>
      <c r="J162" s="2">
        <v>4</v>
      </c>
      <c r="K162">
        <v>4</v>
      </c>
      <c r="L162" s="2">
        <f t="shared" si="15"/>
        <v>0</v>
      </c>
      <c r="M162" s="9">
        <v>4</v>
      </c>
      <c r="N162" s="9">
        <v>3</v>
      </c>
      <c r="O162">
        <f t="shared" si="16"/>
        <v>-1</v>
      </c>
      <c r="P162" s="9">
        <v>1</v>
      </c>
      <c r="Q162" s="9">
        <v>1</v>
      </c>
      <c r="R162">
        <f t="shared" si="17"/>
        <v>0</v>
      </c>
      <c r="S162">
        <v>1</v>
      </c>
      <c r="T162">
        <v>1</v>
      </c>
      <c r="U162">
        <f t="shared" si="18"/>
        <v>0</v>
      </c>
      <c r="V162">
        <v>1</v>
      </c>
      <c r="W162">
        <v>1</v>
      </c>
      <c r="X162">
        <f t="shared" si="19"/>
        <v>0</v>
      </c>
      <c r="Y162" s="2">
        <v>0</v>
      </c>
      <c r="Z162" s="2">
        <v>1</v>
      </c>
      <c r="AA162" s="2">
        <v>0</v>
      </c>
      <c r="AB162" s="2">
        <f t="shared" si="14"/>
        <v>1</v>
      </c>
      <c r="AC162" s="2">
        <v>0</v>
      </c>
      <c r="AD162" s="2">
        <v>0</v>
      </c>
      <c r="AE162" s="2">
        <v>0</v>
      </c>
      <c r="AF162" s="2">
        <v>1</v>
      </c>
      <c r="AG162" s="2">
        <v>0</v>
      </c>
      <c r="AH162" s="2">
        <v>0</v>
      </c>
      <c r="AI162" s="2">
        <v>0</v>
      </c>
      <c r="AJ162" s="2">
        <v>0</v>
      </c>
      <c r="AK162">
        <f t="shared" si="20"/>
        <v>0</v>
      </c>
      <c r="AL162" t="s">
        <v>135</v>
      </c>
    </row>
    <row r="163" spans="1:38" x14ac:dyDescent="0.35">
      <c r="A163">
        <v>183</v>
      </c>
      <c r="B163" t="s">
        <v>15</v>
      </c>
      <c r="C163">
        <v>1.61</v>
      </c>
      <c r="D163" s="2">
        <v>6</v>
      </c>
      <c r="E163" t="s">
        <v>159</v>
      </c>
      <c r="F163" t="s">
        <v>52</v>
      </c>
      <c r="G163" t="s">
        <v>166</v>
      </c>
      <c r="H163">
        <v>0</v>
      </c>
      <c r="I163" s="13">
        <v>0</v>
      </c>
      <c r="J163" s="2">
        <v>9</v>
      </c>
      <c r="K163">
        <v>9</v>
      </c>
      <c r="L163" s="2">
        <f t="shared" si="15"/>
        <v>0</v>
      </c>
      <c r="M163" s="9">
        <v>7</v>
      </c>
      <c r="N163" s="9">
        <v>7</v>
      </c>
      <c r="O163">
        <f t="shared" si="16"/>
        <v>0</v>
      </c>
      <c r="P163" s="9">
        <v>2</v>
      </c>
      <c r="Q163" s="9">
        <v>2</v>
      </c>
      <c r="R163">
        <f t="shared" si="17"/>
        <v>0</v>
      </c>
      <c r="S163">
        <v>2</v>
      </c>
      <c r="T163">
        <v>1</v>
      </c>
      <c r="U163">
        <f t="shared" si="18"/>
        <v>-1</v>
      </c>
      <c r="V163">
        <v>1</v>
      </c>
      <c r="W163">
        <v>1</v>
      </c>
      <c r="X163">
        <f t="shared" si="19"/>
        <v>0</v>
      </c>
      <c r="Y163" s="2">
        <v>0</v>
      </c>
      <c r="Z163" s="2">
        <v>0</v>
      </c>
      <c r="AA163" s="2">
        <v>0</v>
      </c>
      <c r="AB163" s="2">
        <f t="shared" si="14"/>
        <v>0</v>
      </c>
      <c r="AC163" s="2">
        <v>0</v>
      </c>
      <c r="AD163" s="2">
        <v>0</v>
      </c>
      <c r="AE163" s="2">
        <v>0</v>
      </c>
      <c r="AF163" s="2">
        <v>1</v>
      </c>
      <c r="AG163" s="2">
        <v>0</v>
      </c>
      <c r="AH163" s="2">
        <v>0</v>
      </c>
      <c r="AI163" s="2">
        <v>0</v>
      </c>
      <c r="AJ163" s="2">
        <v>0</v>
      </c>
      <c r="AK163">
        <f t="shared" si="20"/>
        <v>0</v>
      </c>
      <c r="AL163" t="s">
        <v>139</v>
      </c>
    </row>
    <row r="164" spans="1:38" x14ac:dyDescent="0.35">
      <c r="A164">
        <v>184</v>
      </c>
      <c r="B164" t="s">
        <v>126</v>
      </c>
      <c r="C164" s="9">
        <v>1.81</v>
      </c>
      <c r="D164" s="2">
        <v>55</v>
      </c>
      <c r="E164" t="s">
        <v>60</v>
      </c>
      <c r="F164" t="s">
        <v>54</v>
      </c>
      <c r="G164" t="s">
        <v>165</v>
      </c>
      <c r="H164">
        <v>0</v>
      </c>
      <c r="I164" s="13">
        <v>0</v>
      </c>
      <c r="J164" s="2">
        <v>2</v>
      </c>
      <c r="K164">
        <v>3</v>
      </c>
      <c r="L164" s="2">
        <f t="shared" si="15"/>
        <v>1</v>
      </c>
      <c r="M164" s="9">
        <v>9</v>
      </c>
      <c r="N164" s="9">
        <v>9</v>
      </c>
      <c r="O164">
        <f t="shared" si="16"/>
        <v>0</v>
      </c>
      <c r="S164">
        <v>1</v>
      </c>
      <c r="T164">
        <v>1</v>
      </c>
      <c r="U164">
        <f t="shared" si="18"/>
        <v>0</v>
      </c>
      <c r="V164">
        <v>0</v>
      </c>
      <c r="W164">
        <v>0</v>
      </c>
      <c r="X164">
        <f t="shared" si="19"/>
        <v>0</v>
      </c>
      <c r="Y164" s="2">
        <v>0</v>
      </c>
      <c r="Z164" s="2">
        <v>0</v>
      </c>
      <c r="AA164" s="2">
        <v>0</v>
      </c>
      <c r="AB164" s="2">
        <f t="shared" si="14"/>
        <v>0</v>
      </c>
      <c r="AC164" s="2">
        <v>0</v>
      </c>
      <c r="AD164" s="2">
        <v>0</v>
      </c>
      <c r="AE164" s="2">
        <v>0</v>
      </c>
      <c r="AF164" s="2">
        <v>0</v>
      </c>
      <c r="AG164" s="2">
        <v>0</v>
      </c>
      <c r="AH164" s="2">
        <v>0</v>
      </c>
      <c r="AI164" s="2">
        <v>0</v>
      </c>
      <c r="AJ164" s="2">
        <v>1</v>
      </c>
      <c r="AK164">
        <f t="shared" si="20"/>
        <v>0</v>
      </c>
      <c r="AL164" t="s">
        <v>139</v>
      </c>
    </row>
    <row r="165" spans="1:38" x14ac:dyDescent="0.35">
      <c r="A165">
        <v>185</v>
      </c>
      <c r="B165" t="s">
        <v>126</v>
      </c>
      <c r="C165" s="9">
        <v>1.81</v>
      </c>
      <c r="D165" s="2">
        <v>7</v>
      </c>
      <c r="E165" t="s">
        <v>60</v>
      </c>
      <c r="F165" t="s">
        <v>54</v>
      </c>
      <c r="G165" t="s">
        <v>165</v>
      </c>
      <c r="H165">
        <v>0</v>
      </c>
      <c r="I165" s="13">
        <v>0.5</v>
      </c>
      <c r="J165" s="2">
        <v>5</v>
      </c>
      <c r="K165">
        <v>5</v>
      </c>
      <c r="L165" s="2">
        <f t="shared" si="15"/>
        <v>0</v>
      </c>
      <c r="M165" s="9">
        <v>7</v>
      </c>
      <c r="N165" s="9">
        <v>7</v>
      </c>
      <c r="O165">
        <f t="shared" si="16"/>
        <v>0</v>
      </c>
      <c r="P165">
        <v>1</v>
      </c>
      <c r="Q165">
        <v>1</v>
      </c>
      <c r="R165">
        <f t="shared" si="17"/>
        <v>0</v>
      </c>
      <c r="S165">
        <v>2</v>
      </c>
      <c r="T165">
        <v>3</v>
      </c>
      <c r="U165">
        <f t="shared" si="18"/>
        <v>1</v>
      </c>
      <c r="V165">
        <v>1</v>
      </c>
      <c r="W165">
        <v>1</v>
      </c>
      <c r="X165">
        <f t="shared" si="19"/>
        <v>0</v>
      </c>
      <c r="Y165" s="2">
        <v>0</v>
      </c>
      <c r="Z165" s="2">
        <v>1</v>
      </c>
      <c r="AA165" s="2">
        <v>1</v>
      </c>
      <c r="AB165" s="2">
        <f t="shared" si="14"/>
        <v>1</v>
      </c>
      <c r="AC165" s="2">
        <v>1</v>
      </c>
      <c r="AD165" s="2">
        <v>1</v>
      </c>
      <c r="AE165" s="2">
        <v>0</v>
      </c>
      <c r="AF165" s="2">
        <v>1</v>
      </c>
      <c r="AG165" s="2">
        <v>0</v>
      </c>
      <c r="AH165" s="2">
        <v>0</v>
      </c>
      <c r="AI165" s="2">
        <v>0</v>
      </c>
      <c r="AJ165" s="2">
        <v>1</v>
      </c>
      <c r="AK165">
        <f t="shared" si="20"/>
        <v>0</v>
      </c>
      <c r="AL165" t="s">
        <v>42</v>
      </c>
    </row>
    <row r="166" spans="1:38" x14ac:dyDescent="0.35">
      <c r="A166">
        <v>186</v>
      </c>
      <c r="B166" t="s">
        <v>13</v>
      </c>
      <c r="C166">
        <v>1.42</v>
      </c>
      <c r="D166" s="5">
        <v>6</v>
      </c>
      <c r="E166" t="s">
        <v>159</v>
      </c>
      <c r="F166" t="s">
        <v>52</v>
      </c>
      <c r="G166" t="s">
        <v>165</v>
      </c>
      <c r="H166">
        <v>0</v>
      </c>
      <c r="I166" s="13">
        <v>0.25</v>
      </c>
      <c r="J166" s="2">
        <v>1</v>
      </c>
      <c r="K166">
        <v>1</v>
      </c>
      <c r="L166" s="2">
        <f t="shared" si="15"/>
        <v>0</v>
      </c>
      <c r="M166" s="9">
        <v>8</v>
      </c>
      <c r="N166" s="9">
        <v>6</v>
      </c>
      <c r="O166">
        <f t="shared" si="16"/>
        <v>-2</v>
      </c>
      <c r="P166">
        <v>1</v>
      </c>
      <c r="Q166">
        <v>1</v>
      </c>
      <c r="R166">
        <f t="shared" si="17"/>
        <v>0</v>
      </c>
      <c r="S166">
        <v>2</v>
      </c>
      <c r="T166">
        <v>1</v>
      </c>
      <c r="U166">
        <f t="shared" si="18"/>
        <v>-1</v>
      </c>
      <c r="V166">
        <v>1</v>
      </c>
      <c r="W166">
        <v>1</v>
      </c>
      <c r="X166">
        <f t="shared" si="19"/>
        <v>0</v>
      </c>
      <c r="Y166" s="2">
        <v>0</v>
      </c>
      <c r="Z166" s="2">
        <v>1</v>
      </c>
      <c r="AA166" s="2">
        <v>0</v>
      </c>
      <c r="AB166" s="2">
        <f t="shared" si="14"/>
        <v>1</v>
      </c>
      <c r="AC166" s="2">
        <v>0</v>
      </c>
      <c r="AD166" s="2">
        <v>1</v>
      </c>
      <c r="AE166" s="2">
        <v>0</v>
      </c>
      <c r="AF166" s="2">
        <v>1</v>
      </c>
      <c r="AG166" s="2">
        <v>0</v>
      </c>
      <c r="AH166" s="2">
        <v>0</v>
      </c>
      <c r="AI166" s="2">
        <v>1</v>
      </c>
      <c r="AJ166" s="2">
        <v>0</v>
      </c>
      <c r="AK166">
        <f t="shared" si="20"/>
        <v>0</v>
      </c>
      <c r="AL166" s="9" t="s">
        <v>38</v>
      </c>
    </row>
    <row r="167" spans="1:38" x14ac:dyDescent="0.35">
      <c r="A167">
        <v>187</v>
      </c>
      <c r="B167" t="s">
        <v>126</v>
      </c>
      <c r="C167" s="9">
        <v>1.81</v>
      </c>
      <c r="D167" s="5">
        <v>95</v>
      </c>
      <c r="E167" t="s">
        <v>60</v>
      </c>
      <c r="F167" t="s">
        <v>55</v>
      </c>
      <c r="G167" t="s">
        <v>165</v>
      </c>
      <c r="H167">
        <v>0</v>
      </c>
      <c r="I167" s="13">
        <v>1</v>
      </c>
      <c r="J167" s="2">
        <v>3</v>
      </c>
      <c r="K167">
        <v>3</v>
      </c>
      <c r="L167" s="2">
        <f t="shared" si="15"/>
        <v>0</v>
      </c>
      <c r="M167" s="9">
        <v>10</v>
      </c>
      <c r="N167" s="9">
        <v>8</v>
      </c>
      <c r="O167">
        <f t="shared" si="16"/>
        <v>-2</v>
      </c>
      <c r="P167">
        <v>2</v>
      </c>
      <c r="Q167">
        <v>2</v>
      </c>
      <c r="R167">
        <f t="shared" si="17"/>
        <v>0</v>
      </c>
      <c r="S167">
        <v>5</v>
      </c>
      <c r="T167">
        <v>3</v>
      </c>
      <c r="U167">
        <f t="shared" si="18"/>
        <v>-2</v>
      </c>
      <c r="V167">
        <v>0</v>
      </c>
      <c r="W167">
        <v>0</v>
      </c>
      <c r="X167">
        <f t="shared" si="19"/>
        <v>0</v>
      </c>
      <c r="Y167" s="2">
        <v>0</v>
      </c>
      <c r="Z167" s="2">
        <v>0</v>
      </c>
      <c r="AA167" s="2">
        <v>0</v>
      </c>
      <c r="AB167" s="2">
        <f t="shared" si="14"/>
        <v>0</v>
      </c>
      <c r="AC167" s="2">
        <v>0</v>
      </c>
      <c r="AD167" s="2">
        <v>1</v>
      </c>
      <c r="AE167" s="2">
        <v>0</v>
      </c>
      <c r="AF167" s="2">
        <v>1</v>
      </c>
      <c r="AG167" s="2">
        <v>0</v>
      </c>
      <c r="AH167" s="2">
        <v>0</v>
      </c>
      <c r="AI167" s="2">
        <v>1</v>
      </c>
      <c r="AJ167" s="2">
        <v>1</v>
      </c>
      <c r="AK167">
        <f t="shared" si="20"/>
        <v>0</v>
      </c>
      <c r="AL167" s="9" t="s">
        <v>38</v>
      </c>
    </row>
    <row r="168" spans="1:38" x14ac:dyDescent="0.35">
      <c r="A168">
        <v>188</v>
      </c>
      <c r="B168" t="s">
        <v>17</v>
      </c>
      <c r="C168">
        <v>-0.04</v>
      </c>
      <c r="D168" s="2">
        <v>60</v>
      </c>
      <c r="E168" t="s">
        <v>161</v>
      </c>
      <c r="F168" t="s">
        <v>54</v>
      </c>
      <c r="G168" t="s">
        <v>166</v>
      </c>
      <c r="H168">
        <v>0</v>
      </c>
      <c r="I168" s="13">
        <v>0.5</v>
      </c>
      <c r="J168" s="2">
        <v>5</v>
      </c>
      <c r="K168">
        <v>5</v>
      </c>
      <c r="L168" s="2">
        <f t="shared" si="15"/>
        <v>0</v>
      </c>
      <c r="M168" s="9">
        <v>6</v>
      </c>
      <c r="N168" s="9">
        <v>6</v>
      </c>
      <c r="O168">
        <f t="shared" si="16"/>
        <v>0</v>
      </c>
      <c r="P168">
        <v>2</v>
      </c>
      <c r="Q168">
        <v>2</v>
      </c>
      <c r="R168">
        <f t="shared" si="17"/>
        <v>0</v>
      </c>
      <c r="S168">
        <v>2</v>
      </c>
      <c r="T168">
        <v>2</v>
      </c>
      <c r="U168">
        <f t="shared" si="18"/>
        <v>0</v>
      </c>
      <c r="V168">
        <v>1</v>
      </c>
      <c r="W168">
        <v>1</v>
      </c>
      <c r="X168">
        <f t="shared" si="19"/>
        <v>0</v>
      </c>
      <c r="Y168" s="2">
        <v>0</v>
      </c>
      <c r="Z168" s="2">
        <v>1</v>
      </c>
      <c r="AA168" s="2">
        <v>0</v>
      </c>
      <c r="AB168" s="2">
        <f t="shared" si="14"/>
        <v>1</v>
      </c>
      <c r="AC168" s="2">
        <v>0</v>
      </c>
      <c r="AD168" s="2">
        <v>1</v>
      </c>
      <c r="AE168" s="2">
        <v>0</v>
      </c>
      <c r="AF168" s="2">
        <v>1</v>
      </c>
      <c r="AG168" s="2">
        <v>0</v>
      </c>
      <c r="AH168" s="2">
        <v>1</v>
      </c>
      <c r="AI168" s="2">
        <v>0</v>
      </c>
      <c r="AJ168" s="2">
        <v>1</v>
      </c>
      <c r="AK168">
        <f t="shared" si="20"/>
        <v>0</v>
      </c>
      <c r="AL168" t="s">
        <v>135</v>
      </c>
    </row>
    <row r="169" spans="1:38" x14ac:dyDescent="0.35">
      <c r="A169">
        <v>189</v>
      </c>
      <c r="B169" t="s">
        <v>17</v>
      </c>
      <c r="C169">
        <v>-0.04</v>
      </c>
      <c r="D169" s="2">
        <v>97</v>
      </c>
      <c r="E169" t="s">
        <v>159</v>
      </c>
      <c r="F169" t="s">
        <v>54</v>
      </c>
      <c r="G169" t="s">
        <v>165</v>
      </c>
      <c r="H169">
        <v>0</v>
      </c>
      <c r="I169" s="13">
        <v>0.25</v>
      </c>
      <c r="J169" s="2">
        <v>5</v>
      </c>
      <c r="K169">
        <v>5</v>
      </c>
      <c r="L169" s="2">
        <f t="shared" si="15"/>
        <v>0</v>
      </c>
      <c r="M169" s="9">
        <v>5</v>
      </c>
      <c r="N169" s="9">
        <v>4</v>
      </c>
      <c r="O169">
        <f t="shared" si="16"/>
        <v>-1</v>
      </c>
      <c r="P169">
        <v>3</v>
      </c>
      <c r="Q169">
        <v>3</v>
      </c>
      <c r="R169">
        <f t="shared" si="17"/>
        <v>0</v>
      </c>
      <c r="S169">
        <v>4</v>
      </c>
      <c r="T169">
        <v>2</v>
      </c>
      <c r="U169">
        <f t="shared" si="18"/>
        <v>-2</v>
      </c>
      <c r="V169">
        <v>1</v>
      </c>
      <c r="W169">
        <v>1</v>
      </c>
      <c r="X169">
        <f t="shared" si="19"/>
        <v>0</v>
      </c>
      <c r="Y169" s="2">
        <v>0</v>
      </c>
      <c r="Z169" s="2">
        <v>1</v>
      </c>
      <c r="AA169" s="2">
        <v>0</v>
      </c>
      <c r="AB169" s="2">
        <f t="shared" si="14"/>
        <v>1</v>
      </c>
      <c r="AC169" s="2">
        <v>0</v>
      </c>
      <c r="AD169" s="2">
        <v>1</v>
      </c>
      <c r="AE169" s="2">
        <v>0</v>
      </c>
      <c r="AF169" s="2">
        <v>0</v>
      </c>
      <c r="AG169" s="2">
        <v>0</v>
      </c>
      <c r="AH169" s="2">
        <v>0</v>
      </c>
      <c r="AI169" s="2">
        <v>0</v>
      </c>
      <c r="AJ169" s="2">
        <v>0</v>
      </c>
      <c r="AK169">
        <f t="shared" si="20"/>
        <v>0</v>
      </c>
      <c r="AL169" t="s">
        <v>135</v>
      </c>
    </row>
    <row r="170" spans="1:38" x14ac:dyDescent="0.35">
      <c r="A170">
        <v>190</v>
      </c>
      <c r="B170" t="s">
        <v>13</v>
      </c>
      <c r="C170">
        <v>1.42</v>
      </c>
      <c r="D170" s="2">
        <v>1</v>
      </c>
      <c r="E170" t="s">
        <v>159</v>
      </c>
      <c r="F170" t="s">
        <v>54</v>
      </c>
      <c r="G170" t="s">
        <v>165</v>
      </c>
      <c r="H170">
        <v>0</v>
      </c>
      <c r="I170" s="13">
        <v>0.75</v>
      </c>
      <c r="J170" s="2">
        <v>4</v>
      </c>
      <c r="K170">
        <v>1</v>
      </c>
      <c r="L170" s="2">
        <f t="shared" si="15"/>
        <v>-3</v>
      </c>
      <c r="M170" s="9">
        <v>9</v>
      </c>
      <c r="N170" s="9">
        <v>9</v>
      </c>
      <c r="O170">
        <f t="shared" si="16"/>
        <v>0</v>
      </c>
      <c r="P170" s="9">
        <v>2</v>
      </c>
      <c r="Q170" s="9">
        <v>2</v>
      </c>
      <c r="R170">
        <f t="shared" si="17"/>
        <v>0</v>
      </c>
      <c r="S170">
        <v>3</v>
      </c>
      <c r="T170">
        <v>3</v>
      </c>
      <c r="U170">
        <f t="shared" si="18"/>
        <v>0</v>
      </c>
      <c r="V170">
        <v>1</v>
      </c>
      <c r="W170">
        <v>1</v>
      </c>
      <c r="X170">
        <f t="shared" si="19"/>
        <v>0</v>
      </c>
      <c r="Y170" s="2">
        <v>0</v>
      </c>
      <c r="Z170" s="2">
        <v>0</v>
      </c>
      <c r="AA170" s="2">
        <v>0</v>
      </c>
      <c r="AB170" s="2">
        <f t="shared" si="14"/>
        <v>0</v>
      </c>
      <c r="AC170" s="2">
        <v>0</v>
      </c>
      <c r="AD170" s="2">
        <v>1</v>
      </c>
      <c r="AE170" s="2">
        <v>0</v>
      </c>
      <c r="AF170" s="2">
        <v>1</v>
      </c>
      <c r="AG170" s="2">
        <v>0</v>
      </c>
      <c r="AH170" s="2">
        <v>1</v>
      </c>
      <c r="AI170" s="2">
        <v>0</v>
      </c>
      <c r="AJ170" s="2">
        <v>0</v>
      </c>
      <c r="AK170">
        <f t="shared" si="20"/>
        <v>0</v>
      </c>
      <c r="AL170" t="s">
        <v>5</v>
      </c>
    </row>
    <row r="171" spans="1:38" x14ac:dyDescent="0.35">
      <c r="A171">
        <v>191</v>
      </c>
      <c r="B171" t="s">
        <v>15</v>
      </c>
      <c r="C171">
        <v>1.61</v>
      </c>
      <c r="D171" s="2">
        <v>7</v>
      </c>
      <c r="E171" t="s">
        <v>51</v>
      </c>
      <c r="F171" t="s">
        <v>52</v>
      </c>
      <c r="G171" t="s">
        <v>165</v>
      </c>
      <c r="H171">
        <v>0</v>
      </c>
      <c r="I171" s="13">
        <v>0.5</v>
      </c>
      <c r="J171" s="2">
        <v>9</v>
      </c>
      <c r="K171">
        <v>9</v>
      </c>
      <c r="L171" s="2">
        <f t="shared" si="15"/>
        <v>0</v>
      </c>
      <c r="M171" s="9">
        <v>10</v>
      </c>
      <c r="N171" s="9">
        <v>10</v>
      </c>
      <c r="O171">
        <f t="shared" si="16"/>
        <v>0</v>
      </c>
      <c r="P171" s="9">
        <v>3</v>
      </c>
      <c r="Q171" s="9">
        <v>3</v>
      </c>
      <c r="R171">
        <f t="shared" si="17"/>
        <v>0</v>
      </c>
      <c r="S171">
        <v>5</v>
      </c>
      <c r="T171">
        <v>4</v>
      </c>
      <c r="U171">
        <f t="shared" si="18"/>
        <v>-1</v>
      </c>
      <c r="V171">
        <v>1</v>
      </c>
      <c r="W171">
        <v>1</v>
      </c>
      <c r="X171">
        <f t="shared" si="19"/>
        <v>0</v>
      </c>
      <c r="Y171" s="2">
        <v>0</v>
      </c>
      <c r="Z171" s="2">
        <v>0</v>
      </c>
      <c r="AA171" s="2">
        <v>0</v>
      </c>
      <c r="AB171" s="2">
        <f t="shared" si="14"/>
        <v>0</v>
      </c>
      <c r="AC171" s="2">
        <v>0</v>
      </c>
      <c r="AD171" s="2">
        <v>1</v>
      </c>
      <c r="AE171" s="2">
        <v>0</v>
      </c>
      <c r="AF171" s="2">
        <v>1</v>
      </c>
      <c r="AG171" s="2">
        <v>0</v>
      </c>
      <c r="AH171" s="2">
        <v>0</v>
      </c>
      <c r="AI171" s="2">
        <v>1</v>
      </c>
      <c r="AJ171" s="2">
        <v>0</v>
      </c>
      <c r="AK171">
        <f t="shared" si="20"/>
        <v>0</v>
      </c>
      <c r="AL171" s="2" t="s">
        <v>8</v>
      </c>
    </row>
    <row r="172" spans="1:38" x14ac:dyDescent="0.35">
      <c r="A172" s="7">
        <v>192</v>
      </c>
      <c r="B172" s="7" t="s">
        <v>162</v>
      </c>
      <c r="C172" s="7">
        <v>-0.37</v>
      </c>
      <c r="D172" s="12">
        <v>14</v>
      </c>
      <c r="E172" s="7" t="s">
        <v>51</v>
      </c>
      <c r="F172" s="7" t="s">
        <v>53</v>
      </c>
      <c r="G172" t="s">
        <v>165</v>
      </c>
      <c r="H172" s="7">
        <v>1</v>
      </c>
      <c r="I172" s="16">
        <v>0.25</v>
      </c>
      <c r="J172" s="12">
        <v>3</v>
      </c>
      <c r="K172" s="7">
        <v>3</v>
      </c>
      <c r="L172" s="2">
        <f t="shared" si="15"/>
        <v>0</v>
      </c>
      <c r="M172" s="9">
        <v>9</v>
      </c>
      <c r="N172" s="9">
        <v>7</v>
      </c>
      <c r="O172">
        <f t="shared" si="16"/>
        <v>-2</v>
      </c>
      <c r="P172" s="9">
        <v>3</v>
      </c>
      <c r="Q172" s="9">
        <v>3</v>
      </c>
      <c r="R172">
        <f t="shared" si="17"/>
        <v>0</v>
      </c>
      <c r="S172">
        <v>4</v>
      </c>
      <c r="T172">
        <v>4</v>
      </c>
      <c r="U172">
        <f t="shared" si="18"/>
        <v>0</v>
      </c>
      <c r="V172">
        <v>1</v>
      </c>
      <c r="W172">
        <v>1</v>
      </c>
      <c r="X172">
        <f t="shared" si="19"/>
        <v>0</v>
      </c>
      <c r="Y172" s="12">
        <v>0</v>
      </c>
      <c r="Z172" s="12">
        <v>1</v>
      </c>
      <c r="AA172" s="12">
        <v>1</v>
      </c>
      <c r="AB172" s="12">
        <f t="shared" si="14"/>
        <v>1</v>
      </c>
      <c r="AC172" s="12">
        <v>1</v>
      </c>
      <c r="AD172" s="12">
        <v>0</v>
      </c>
      <c r="AE172" s="12">
        <v>0</v>
      </c>
      <c r="AF172" s="12">
        <v>1</v>
      </c>
      <c r="AG172" s="12">
        <v>0</v>
      </c>
      <c r="AH172" s="12">
        <v>0</v>
      </c>
      <c r="AI172" s="12">
        <v>0</v>
      </c>
      <c r="AJ172" s="12">
        <v>1</v>
      </c>
      <c r="AK172">
        <f t="shared" si="20"/>
        <v>0</v>
      </c>
      <c r="AL172" s="12" t="s">
        <v>136</v>
      </c>
    </row>
    <row r="173" spans="1:38" x14ac:dyDescent="0.35">
      <c r="A173" s="7">
        <v>193</v>
      </c>
      <c r="B173" s="7" t="s">
        <v>162</v>
      </c>
      <c r="C173" s="7">
        <v>-0.37</v>
      </c>
      <c r="D173" s="2">
        <v>7</v>
      </c>
      <c r="E173" s="7" t="s">
        <v>51</v>
      </c>
      <c r="F173" t="s">
        <v>54</v>
      </c>
      <c r="G173" s="7" t="s">
        <v>166</v>
      </c>
      <c r="H173" s="7">
        <v>1</v>
      </c>
      <c r="I173" s="13">
        <v>0.25</v>
      </c>
      <c r="J173" s="12">
        <v>4</v>
      </c>
      <c r="K173" s="7">
        <v>1</v>
      </c>
      <c r="L173" s="2">
        <f t="shared" si="15"/>
        <v>-3</v>
      </c>
      <c r="M173" s="9">
        <v>9</v>
      </c>
      <c r="N173" s="9">
        <v>6</v>
      </c>
      <c r="O173">
        <f t="shared" si="16"/>
        <v>-3</v>
      </c>
      <c r="P173" s="9">
        <v>3</v>
      </c>
      <c r="Q173" s="9">
        <v>3</v>
      </c>
      <c r="R173">
        <f t="shared" si="17"/>
        <v>0</v>
      </c>
      <c r="S173">
        <v>5</v>
      </c>
      <c r="T173">
        <v>3</v>
      </c>
      <c r="U173">
        <f t="shared" si="18"/>
        <v>-2</v>
      </c>
      <c r="V173">
        <v>2</v>
      </c>
      <c r="W173">
        <v>2</v>
      </c>
      <c r="X173">
        <f t="shared" si="19"/>
        <v>0</v>
      </c>
      <c r="Y173" s="2">
        <v>0</v>
      </c>
      <c r="Z173" s="2">
        <v>0</v>
      </c>
      <c r="AA173" s="2">
        <v>0</v>
      </c>
      <c r="AB173" s="2">
        <f t="shared" si="14"/>
        <v>0</v>
      </c>
      <c r="AC173" s="2">
        <v>0</v>
      </c>
      <c r="AD173" s="2">
        <v>0</v>
      </c>
      <c r="AE173" s="2">
        <v>0</v>
      </c>
      <c r="AF173" s="2">
        <v>0</v>
      </c>
      <c r="AG173" s="2">
        <v>1</v>
      </c>
      <c r="AH173" s="2">
        <v>0</v>
      </c>
      <c r="AI173" s="2">
        <v>0</v>
      </c>
      <c r="AJ173" s="2">
        <v>0</v>
      </c>
      <c r="AK173">
        <f t="shared" si="20"/>
        <v>0</v>
      </c>
      <c r="AL173" s="2" t="s">
        <v>139</v>
      </c>
    </row>
    <row r="174" spans="1:38" x14ac:dyDescent="0.35">
      <c r="A174" s="7">
        <v>194</v>
      </c>
      <c r="B174" s="7" t="s">
        <v>162</v>
      </c>
      <c r="C174" s="7">
        <v>-0.37</v>
      </c>
      <c r="D174" s="2">
        <v>90</v>
      </c>
      <c r="E174" s="7" t="s">
        <v>140</v>
      </c>
      <c r="F174" t="s">
        <v>52</v>
      </c>
      <c r="G174" t="s">
        <v>165</v>
      </c>
      <c r="H174" s="7">
        <v>1</v>
      </c>
      <c r="I174" s="13">
        <v>1</v>
      </c>
      <c r="J174" s="12">
        <v>3</v>
      </c>
      <c r="K174" s="7">
        <v>3</v>
      </c>
      <c r="L174" s="2">
        <f t="shared" si="15"/>
        <v>0</v>
      </c>
      <c r="M174" s="9">
        <v>6</v>
      </c>
      <c r="N174" s="9">
        <v>8</v>
      </c>
      <c r="O174">
        <f t="shared" si="16"/>
        <v>2</v>
      </c>
      <c r="P174" s="9">
        <v>1</v>
      </c>
      <c r="Q174" s="9">
        <v>1</v>
      </c>
      <c r="R174">
        <f t="shared" si="17"/>
        <v>0</v>
      </c>
      <c r="S174">
        <v>3</v>
      </c>
      <c r="T174">
        <v>3</v>
      </c>
      <c r="U174">
        <f t="shared" si="18"/>
        <v>0</v>
      </c>
      <c r="V174">
        <v>1</v>
      </c>
      <c r="W174">
        <v>1</v>
      </c>
      <c r="X174">
        <f t="shared" si="19"/>
        <v>0</v>
      </c>
      <c r="Y174" s="2">
        <v>0</v>
      </c>
      <c r="Z174" s="2">
        <v>0</v>
      </c>
      <c r="AA174" s="2">
        <v>0</v>
      </c>
      <c r="AB174" s="2">
        <f t="shared" si="14"/>
        <v>0</v>
      </c>
      <c r="AC174" s="2">
        <v>0</v>
      </c>
      <c r="AD174" s="2">
        <v>1</v>
      </c>
      <c r="AE174" s="2">
        <v>0</v>
      </c>
      <c r="AF174" s="2">
        <v>1</v>
      </c>
      <c r="AG174" s="2">
        <v>0</v>
      </c>
      <c r="AH174" s="2">
        <v>0</v>
      </c>
      <c r="AI174" s="2">
        <v>1</v>
      </c>
      <c r="AJ174" s="2">
        <v>0</v>
      </c>
      <c r="AK174">
        <f t="shared" si="20"/>
        <v>0</v>
      </c>
      <c r="AL174" s="2" t="s">
        <v>5</v>
      </c>
    </row>
    <row r="175" spans="1:38" x14ac:dyDescent="0.35">
      <c r="A175" s="7">
        <v>195</v>
      </c>
      <c r="B175" s="7" t="s">
        <v>15</v>
      </c>
      <c r="C175">
        <v>1.61</v>
      </c>
      <c r="D175" s="2">
        <v>38</v>
      </c>
      <c r="E175" s="7" t="s">
        <v>51</v>
      </c>
      <c r="F175" t="s">
        <v>54</v>
      </c>
      <c r="G175" t="s">
        <v>165</v>
      </c>
      <c r="H175" s="7">
        <v>1</v>
      </c>
      <c r="I175" s="13">
        <v>1</v>
      </c>
      <c r="J175" s="12">
        <v>4</v>
      </c>
      <c r="K175" s="7">
        <v>2</v>
      </c>
      <c r="L175" s="2">
        <f t="shared" si="15"/>
        <v>-2</v>
      </c>
      <c r="M175" s="9">
        <v>7</v>
      </c>
      <c r="N175" s="9">
        <v>1</v>
      </c>
      <c r="O175">
        <f t="shared" si="16"/>
        <v>-6</v>
      </c>
      <c r="P175" s="9">
        <v>3</v>
      </c>
      <c r="Q175" s="9">
        <v>3</v>
      </c>
      <c r="R175">
        <f t="shared" si="17"/>
        <v>0</v>
      </c>
      <c r="S175">
        <v>3</v>
      </c>
      <c r="T175">
        <v>4</v>
      </c>
      <c r="U175">
        <f t="shared" si="18"/>
        <v>1</v>
      </c>
      <c r="V175">
        <v>1</v>
      </c>
      <c r="W175">
        <v>2</v>
      </c>
      <c r="X175">
        <f t="shared" si="19"/>
        <v>1</v>
      </c>
      <c r="Y175" s="2">
        <v>0</v>
      </c>
      <c r="Z175" s="2">
        <v>1</v>
      </c>
      <c r="AA175" s="2">
        <v>0</v>
      </c>
      <c r="AB175" s="2">
        <f t="shared" ref="AB175:AB198" si="21">IF(Z175+AA175&gt;0,1,0)</f>
        <v>1</v>
      </c>
      <c r="AC175" s="2">
        <v>0</v>
      </c>
      <c r="AD175" s="2">
        <v>1</v>
      </c>
      <c r="AE175" s="2">
        <v>0</v>
      </c>
      <c r="AF175" s="2">
        <v>1</v>
      </c>
      <c r="AG175" s="2">
        <v>1</v>
      </c>
      <c r="AH175" s="2">
        <v>1</v>
      </c>
      <c r="AI175" s="2">
        <v>1</v>
      </c>
      <c r="AJ175" s="2">
        <v>0</v>
      </c>
      <c r="AK175">
        <f t="shared" si="20"/>
        <v>0</v>
      </c>
      <c r="AL175" s="2" t="s">
        <v>7</v>
      </c>
    </row>
    <row r="176" spans="1:38" x14ac:dyDescent="0.35">
      <c r="A176" s="7">
        <v>196</v>
      </c>
      <c r="B176" s="7" t="s">
        <v>15</v>
      </c>
      <c r="C176">
        <v>1.61</v>
      </c>
      <c r="D176" s="2">
        <v>45</v>
      </c>
      <c r="E176" s="7" t="s">
        <v>51</v>
      </c>
      <c r="F176" t="s">
        <v>54</v>
      </c>
      <c r="G176" s="7" t="s">
        <v>166</v>
      </c>
      <c r="H176">
        <v>0</v>
      </c>
      <c r="I176" s="13">
        <v>0</v>
      </c>
      <c r="J176" s="12">
        <v>1</v>
      </c>
      <c r="K176" s="7">
        <v>4</v>
      </c>
      <c r="L176" s="2">
        <f t="shared" si="15"/>
        <v>3</v>
      </c>
      <c r="M176" s="9">
        <v>3</v>
      </c>
      <c r="N176" s="9">
        <v>3</v>
      </c>
      <c r="O176">
        <f t="shared" si="16"/>
        <v>0</v>
      </c>
      <c r="P176" s="9">
        <v>2</v>
      </c>
      <c r="Q176" s="9">
        <v>3</v>
      </c>
      <c r="R176">
        <f t="shared" si="17"/>
        <v>1</v>
      </c>
      <c r="S176">
        <v>1</v>
      </c>
      <c r="T176">
        <v>1</v>
      </c>
      <c r="U176">
        <f t="shared" si="18"/>
        <v>0</v>
      </c>
      <c r="V176">
        <v>0</v>
      </c>
      <c r="W176">
        <v>0</v>
      </c>
      <c r="X176">
        <f t="shared" si="19"/>
        <v>0</v>
      </c>
      <c r="Y176" s="2">
        <v>0</v>
      </c>
      <c r="Z176" s="2">
        <v>0</v>
      </c>
      <c r="AA176" s="2">
        <v>0</v>
      </c>
      <c r="AB176" s="2">
        <f t="shared" si="21"/>
        <v>0</v>
      </c>
      <c r="AC176" s="2">
        <v>0</v>
      </c>
      <c r="AD176" s="2">
        <v>0</v>
      </c>
      <c r="AE176" s="2">
        <v>0</v>
      </c>
      <c r="AF176" s="2">
        <v>0</v>
      </c>
      <c r="AG176" s="2">
        <v>0</v>
      </c>
      <c r="AH176" s="2">
        <v>0</v>
      </c>
      <c r="AI176" s="2">
        <v>0</v>
      </c>
      <c r="AJ176" s="2">
        <v>0</v>
      </c>
      <c r="AK176">
        <f t="shared" si="20"/>
        <v>1</v>
      </c>
      <c r="AL176" s="2" t="s">
        <v>139</v>
      </c>
    </row>
    <row r="177" spans="1:38" x14ac:dyDescent="0.35">
      <c r="A177" s="7">
        <v>197</v>
      </c>
      <c r="B177" s="7" t="s">
        <v>15</v>
      </c>
      <c r="C177">
        <v>1.61</v>
      </c>
      <c r="D177" s="2">
        <v>37</v>
      </c>
      <c r="E177" s="7" t="s">
        <v>51</v>
      </c>
      <c r="F177" t="s">
        <v>53</v>
      </c>
      <c r="G177" t="s">
        <v>165</v>
      </c>
      <c r="H177" s="7">
        <v>1</v>
      </c>
      <c r="I177" s="13">
        <v>0.75</v>
      </c>
      <c r="J177" s="12">
        <v>2</v>
      </c>
      <c r="K177" s="7">
        <v>2</v>
      </c>
      <c r="L177" s="2">
        <f t="shared" si="15"/>
        <v>0</v>
      </c>
      <c r="M177" s="9">
        <v>8</v>
      </c>
      <c r="N177" s="9">
        <v>2</v>
      </c>
      <c r="O177">
        <f t="shared" si="16"/>
        <v>-6</v>
      </c>
      <c r="P177" s="9">
        <v>2</v>
      </c>
      <c r="Q177" s="9">
        <v>2</v>
      </c>
      <c r="R177">
        <f t="shared" si="17"/>
        <v>0</v>
      </c>
      <c r="S177">
        <v>3</v>
      </c>
      <c r="T177">
        <v>3</v>
      </c>
      <c r="U177">
        <f t="shared" si="18"/>
        <v>0</v>
      </c>
      <c r="V177">
        <v>1</v>
      </c>
      <c r="W177">
        <v>1</v>
      </c>
      <c r="X177">
        <f t="shared" si="19"/>
        <v>0</v>
      </c>
      <c r="Y177" s="2">
        <v>1</v>
      </c>
      <c r="Z177" s="2">
        <v>1</v>
      </c>
      <c r="AA177" s="2">
        <v>1</v>
      </c>
      <c r="AB177" s="2">
        <f t="shared" si="21"/>
        <v>1</v>
      </c>
      <c r="AC177" s="2">
        <v>1</v>
      </c>
      <c r="AD177" s="2">
        <v>1</v>
      </c>
      <c r="AE177" s="2">
        <v>0</v>
      </c>
      <c r="AF177" s="2">
        <v>1</v>
      </c>
      <c r="AG177" s="2">
        <v>0</v>
      </c>
      <c r="AH177" s="2">
        <v>0</v>
      </c>
      <c r="AI177" s="2">
        <v>1</v>
      </c>
      <c r="AJ177" s="2">
        <v>0</v>
      </c>
      <c r="AK177">
        <f t="shared" si="20"/>
        <v>0</v>
      </c>
      <c r="AL177" s="2" t="s">
        <v>136</v>
      </c>
    </row>
    <row r="178" spans="1:38" x14ac:dyDescent="0.35">
      <c r="A178" s="7">
        <v>198</v>
      </c>
      <c r="B178" s="7" t="s">
        <v>126</v>
      </c>
      <c r="C178" s="9">
        <v>1.81</v>
      </c>
      <c r="D178" s="2">
        <v>22</v>
      </c>
      <c r="E178" s="7" t="s">
        <v>161</v>
      </c>
      <c r="F178" t="s">
        <v>54</v>
      </c>
      <c r="G178" t="s">
        <v>165</v>
      </c>
      <c r="H178">
        <v>0</v>
      </c>
      <c r="I178" s="13">
        <v>0.5</v>
      </c>
      <c r="J178" s="12">
        <v>1</v>
      </c>
      <c r="K178" s="7">
        <v>1</v>
      </c>
      <c r="L178" s="2">
        <f t="shared" si="15"/>
        <v>0</v>
      </c>
      <c r="M178" s="9">
        <v>2</v>
      </c>
      <c r="N178" s="9">
        <v>2</v>
      </c>
      <c r="O178">
        <f t="shared" si="16"/>
        <v>0</v>
      </c>
      <c r="P178" s="9">
        <v>1</v>
      </c>
      <c r="Q178" s="9">
        <v>1</v>
      </c>
      <c r="R178">
        <f t="shared" si="17"/>
        <v>0</v>
      </c>
      <c r="S178">
        <v>1</v>
      </c>
      <c r="T178">
        <v>1</v>
      </c>
      <c r="U178">
        <f t="shared" si="18"/>
        <v>0</v>
      </c>
      <c r="V178">
        <v>1</v>
      </c>
      <c r="W178">
        <v>1</v>
      </c>
      <c r="X178">
        <f t="shared" si="19"/>
        <v>0</v>
      </c>
      <c r="Y178" s="2">
        <v>0</v>
      </c>
      <c r="Z178" s="2">
        <v>0</v>
      </c>
      <c r="AA178" s="2">
        <v>1</v>
      </c>
      <c r="AB178" s="2">
        <f t="shared" si="21"/>
        <v>1</v>
      </c>
      <c r="AC178" s="2">
        <v>1</v>
      </c>
      <c r="AD178" s="2">
        <v>0</v>
      </c>
      <c r="AE178" s="2">
        <v>0</v>
      </c>
      <c r="AF178" s="2">
        <v>0</v>
      </c>
      <c r="AG178" s="2">
        <v>0</v>
      </c>
      <c r="AH178" s="2">
        <v>0</v>
      </c>
      <c r="AI178" s="2">
        <v>1</v>
      </c>
      <c r="AJ178" s="2">
        <v>1</v>
      </c>
      <c r="AK178">
        <f t="shared" si="20"/>
        <v>0</v>
      </c>
      <c r="AL178" s="2" t="s">
        <v>137</v>
      </c>
    </row>
    <row r="179" spans="1:38" x14ac:dyDescent="0.35">
      <c r="A179" s="7">
        <v>199</v>
      </c>
      <c r="B179" s="7" t="s">
        <v>162</v>
      </c>
      <c r="C179" s="7">
        <v>-0.37</v>
      </c>
      <c r="D179" s="2">
        <v>134</v>
      </c>
      <c r="E179" s="7" t="s">
        <v>51</v>
      </c>
      <c r="F179" t="s">
        <v>55</v>
      </c>
      <c r="G179" t="s">
        <v>165</v>
      </c>
      <c r="H179" s="7">
        <v>1</v>
      </c>
      <c r="I179" s="13">
        <v>0</v>
      </c>
      <c r="J179" s="12">
        <v>6</v>
      </c>
      <c r="K179" s="7">
        <v>6</v>
      </c>
      <c r="L179" s="2">
        <f t="shared" si="15"/>
        <v>0</v>
      </c>
      <c r="M179" s="9">
        <v>10</v>
      </c>
      <c r="N179" s="9">
        <v>10</v>
      </c>
      <c r="O179">
        <f t="shared" si="16"/>
        <v>0</v>
      </c>
      <c r="P179" s="9">
        <v>2</v>
      </c>
      <c r="Q179" s="9">
        <v>2</v>
      </c>
      <c r="R179">
        <f t="shared" si="17"/>
        <v>0</v>
      </c>
      <c r="S179">
        <v>5</v>
      </c>
      <c r="T179">
        <v>5</v>
      </c>
      <c r="U179">
        <f t="shared" si="18"/>
        <v>0</v>
      </c>
      <c r="V179">
        <v>1</v>
      </c>
      <c r="W179">
        <v>1</v>
      </c>
      <c r="X179">
        <f t="shared" si="19"/>
        <v>0</v>
      </c>
      <c r="Y179" s="2">
        <v>0</v>
      </c>
      <c r="Z179" s="2">
        <v>0</v>
      </c>
      <c r="AA179" s="2">
        <v>0</v>
      </c>
      <c r="AB179" s="2">
        <f t="shared" si="21"/>
        <v>0</v>
      </c>
      <c r="AC179" s="2">
        <v>1</v>
      </c>
      <c r="AD179" s="2">
        <v>1</v>
      </c>
      <c r="AE179" s="2">
        <v>0</v>
      </c>
      <c r="AF179" s="2">
        <v>0</v>
      </c>
      <c r="AG179" s="2">
        <v>1</v>
      </c>
      <c r="AH179" s="2">
        <v>0</v>
      </c>
      <c r="AI179" s="2">
        <v>0</v>
      </c>
      <c r="AJ179" s="2">
        <v>0</v>
      </c>
      <c r="AK179">
        <f t="shared" si="20"/>
        <v>0</v>
      </c>
      <c r="AL179" s="2" t="s">
        <v>139</v>
      </c>
    </row>
    <row r="180" spans="1:38" x14ac:dyDescent="0.35">
      <c r="A180" s="7">
        <v>200</v>
      </c>
      <c r="B180" s="7" t="s">
        <v>162</v>
      </c>
      <c r="C180" s="7">
        <v>-0.37</v>
      </c>
      <c r="D180" s="2">
        <v>80</v>
      </c>
      <c r="E180" s="7" t="s">
        <v>51</v>
      </c>
      <c r="F180" t="s">
        <v>53</v>
      </c>
      <c r="G180" t="s">
        <v>165</v>
      </c>
      <c r="H180" s="7">
        <v>1</v>
      </c>
      <c r="I180" s="13">
        <v>0.25</v>
      </c>
      <c r="J180" s="12">
        <v>2</v>
      </c>
      <c r="K180" s="7">
        <v>2</v>
      </c>
      <c r="L180" s="2">
        <f t="shared" si="15"/>
        <v>0</v>
      </c>
      <c r="M180" s="9">
        <v>8</v>
      </c>
      <c r="N180" s="9">
        <v>8</v>
      </c>
      <c r="O180">
        <f t="shared" si="16"/>
        <v>0</v>
      </c>
      <c r="P180" s="9">
        <v>1</v>
      </c>
      <c r="Q180" s="9">
        <v>1</v>
      </c>
      <c r="R180">
        <f t="shared" si="17"/>
        <v>0</v>
      </c>
      <c r="S180">
        <v>4</v>
      </c>
      <c r="T180">
        <v>4</v>
      </c>
      <c r="U180">
        <f t="shared" si="18"/>
        <v>0</v>
      </c>
      <c r="V180">
        <v>1</v>
      </c>
      <c r="W180">
        <v>1</v>
      </c>
      <c r="X180">
        <f t="shared" si="19"/>
        <v>0</v>
      </c>
      <c r="Y180" s="12">
        <v>0</v>
      </c>
      <c r="Z180" s="2">
        <v>0</v>
      </c>
      <c r="AA180" s="2">
        <v>0</v>
      </c>
      <c r="AB180" s="2">
        <f t="shared" si="21"/>
        <v>0</v>
      </c>
      <c r="AC180" s="2">
        <v>0</v>
      </c>
      <c r="AD180" s="2">
        <v>0</v>
      </c>
      <c r="AE180" s="2">
        <v>0</v>
      </c>
      <c r="AF180" s="2">
        <v>1</v>
      </c>
      <c r="AG180" s="2">
        <v>0</v>
      </c>
      <c r="AH180" s="2">
        <v>0</v>
      </c>
      <c r="AI180" s="2">
        <v>0</v>
      </c>
      <c r="AJ180" s="2">
        <v>0</v>
      </c>
      <c r="AK180">
        <f t="shared" si="20"/>
        <v>0</v>
      </c>
      <c r="AL180" s="2" t="s">
        <v>139</v>
      </c>
    </row>
    <row r="181" spans="1:38" x14ac:dyDescent="0.35">
      <c r="A181" s="7">
        <v>201</v>
      </c>
      <c r="B181" s="7" t="s">
        <v>162</v>
      </c>
      <c r="C181" s="7">
        <v>-0.37</v>
      </c>
      <c r="D181" s="2">
        <v>14</v>
      </c>
      <c r="E181" s="7" t="s">
        <v>51</v>
      </c>
      <c r="F181" t="s">
        <v>55</v>
      </c>
      <c r="G181" s="7" t="s">
        <v>166</v>
      </c>
      <c r="H181" s="7">
        <v>1</v>
      </c>
      <c r="I181" s="13">
        <v>0.5</v>
      </c>
      <c r="J181" s="12">
        <v>10</v>
      </c>
      <c r="K181" s="7">
        <v>8</v>
      </c>
      <c r="L181" s="2">
        <f t="shared" si="15"/>
        <v>-2</v>
      </c>
      <c r="M181" s="9">
        <v>5</v>
      </c>
      <c r="N181" s="9">
        <v>4</v>
      </c>
      <c r="O181">
        <f t="shared" si="16"/>
        <v>-1</v>
      </c>
      <c r="P181" s="9">
        <v>2</v>
      </c>
      <c r="Q181" s="9">
        <v>2</v>
      </c>
      <c r="R181">
        <f t="shared" si="17"/>
        <v>0</v>
      </c>
      <c r="S181">
        <v>3</v>
      </c>
      <c r="T181">
        <v>4</v>
      </c>
      <c r="U181">
        <f t="shared" si="18"/>
        <v>1</v>
      </c>
      <c r="V181">
        <v>1</v>
      </c>
      <c r="W181">
        <v>1</v>
      </c>
      <c r="X181">
        <f t="shared" si="19"/>
        <v>0</v>
      </c>
      <c r="Y181" s="12">
        <v>0</v>
      </c>
      <c r="Z181" s="2">
        <v>1</v>
      </c>
      <c r="AA181" s="2">
        <v>0</v>
      </c>
      <c r="AB181" s="2">
        <f t="shared" si="21"/>
        <v>1</v>
      </c>
      <c r="AC181" s="2">
        <v>0</v>
      </c>
      <c r="AD181" s="2">
        <v>1</v>
      </c>
      <c r="AE181" s="2">
        <v>0</v>
      </c>
      <c r="AF181" s="2">
        <v>1</v>
      </c>
      <c r="AG181" s="2">
        <v>1</v>
      </c>
      <c r="AH181" s="2">
        <v>0</v>
      </c>
      <c r="AI181" s="2">
        <v>1</v>
      </c>
      <c r="AJ181" s="2">
        <v>0</v>
      </c>
      <c r="AK181">
        <f t="shared" si="20"/>
        <v>0</v>
      </c>
      <c r="AL181" s="2" t="s">
        <v>5</v>
      </c>
    </row>
    <row r="182" spans="1:38" x14ac:dyDescent="0.35">
      <c r="A182" s="7">
        <v>202</v>
      </c>
      <c r="B182" s="7" t="s">
        <v>126</v>
      </c>
      <c r="C182" s="9">
        <v>1.81</v>
      </c>
      <c r="D182" s="2">
        <v>52</v>
      </c>
      <c r="E182" s="7" t="s">
        <v>60</v>
      </c>
      <c r="F182" t="s">
        <v>54</v>
      </c>
      <c r="G182" t="s">
        <v>165</v>
      </c>
      <c r="H182">
        <v>0</v>
      </c>
      <c r="I182" s="13">
        <v>0</v>
      </c>
      <c r="J182" s="12">
        <v>3</v>
      </c>
      <c r="K182" s="7">
        <v>3</v>
      </c>
      <c r="L182" s="2">
        <f t="shared" si="15"/>
        <v>0</v>
      </c>
      <c r="M182" s="9">
        <v>5</v>
      </c>
      <c r="N182" s="9">
        <v>5</v>
      </c>
      <c r="O182">
        <f t="shared" si="16"/>
        <v>0</v>
      </c>
      <c r="P182" s="9">
        <v>1</v>
      </c>
      <c r="Q182" s="9">
        <v>1</v>
      </c>
      <c r="R182">
        <f t="shared" si="17"/>
        <v>0</v>
      </c>
      <c r="S182">
        <v>1</v>
      </c>
      <c r="T182">
        <v>1</v>
      </c>
      <c r="U182">
        <f t="shared" si="18"/>
        <v>0</v>
      </c>
      <c r="V182">
        <v>0</v>
      </c>
      <c r="W182">
        <v>1</v>
      </c>
      <c r="X182">
        <f t="shared" si="19"/>
        <v>1</v>
      </c>
      <c r="Y182" s="12">
        <v>0</v>
      </c>
      <c r="Z182" s="2">
        <v>0</v>
      </c>
      <c r="AA182" s="2">
        <v>0</v>
      </c>
      <c r="AB182" s="2">
        <f t="shared" si="21"/>
        <v>0</v>
      </c>
      <c r="AC182" s="2">
        <v>0</v>
      </c>
      <c r="AD182" s="2">
        <v>0</v>
      </c>
      <c r="AE182" s="2">
        <v>0</v>
      </c>
      <c r="AF182" s="2">
        <v>1</v>
      </c>
      <c r="AG182" s="2">
        <v>0</v>
      </c>
      <c r="AH182" s="2">
        <v>0</v>
      </c>
      <c r="AI182" s="2">
        <v>0</v>
      </c>
      <c r="AJ182" s="2">
        <v>0</v>
      </c>
      <c r="AK182">
        <f t="shared" si="20"/>
        <v>0</v>
      </c>
      <c r="AL182" s="2" t="s">
        <v>139</v>
      </c>
    </row>
    <row r="183" spans="1:38" x14ac:dyDescent="0.35">
      <c r="A183" s="7">
        <v>203</v>
      </c>
      <c r="B183" s="7" t="s">
        <v>126</v>
      </c>
      <c r="C183" s="9">
        <v>1.81</v>
      </c>
      <c r="D183" s="5">
        <v>21</v>
      </c>
      <c r="E183" s="7" t="s">
        <v>161</v>
      </c>
      <c r="F183" t="s">
        <v>54</v>
      </c>
      <c r="G183" t="s">
        <v>165</v>
      </c>
      <c r="H183">
        <v>0</v>
      </c>
      <c r="I183" s="13">
        <v>0</v>
      </c>
      <c r="J183" s="12">
        <v>3</v>
      </c>
      <c r="K183" s="7">
        <v>3</v>
      </c>
      <c r="L183" s="2">
        <f t="shared" si="15"/>
        <v>0</v>
      </c>
      <c r="M183" s="9">
        <v>6</v>
      </c>
      <c r="N183" s="9">
        <v>6</v>
      </c>
      <c r="O183">
        <f t="shared" si="16"/>
        <v>0</v>
      </c>
      <c r="P183" s="9">
        <v>3</v>
      </c>
      <c r="Q183" s="9">
        <v>3</v>
      </c>
      <c r="R183">
        <f t="shared" si="17"/>
        <v>0</v>
      </c>
      <c r="S183">
        <v>5</v>
      </c>
      <c r="T183">
        <v>5</v>
      </c>
      <c r="U183">
        <f t="shared" si="18"/>
        <v>0</v>
      </c>
      <c r="V183">
        <v>0</v>
      </c>
      <c r="W183">
        <v>0</v>
      </c>
      <c r="X183">
        <f t="shared" si="19"/>
        <v>0</v>
      </c>
      <c r="Y183" s="12">
        <v>0</v>
      </c>
      <c r="Z183" s="2">
        <v>0</v>
      </c>
      <c r="AA183" s="2">
        <v>0</v>
      </c>
      <c r="AB183" s="2">
        <f t="shared" si="21"/>
        <v>0</v>
      </c>
      <c r="AC183" s="2">
        <v>0</v>
      </c>
      <c r="AD183" s="2">
        <v>0</v>
      </c>
      <c r="AE183" s="2">
        <v>0</v>
      </c>
      <c r="AF183" s="2">
        <v>0</v>
      </c>
      <c r="AG183" s="2">
        <v>0</v>
      </c>
      <c r="AH183" s="2">
        <v>0</v>
      </c>
      <c r="AI183" s="2">
        <v>0</v>
      </c>
      <c r="AJ183" s="2">
        <v>0</v>
      </c>
      <c r="AK183">
        <f t="shared" si="20"/>
        <v>1</v>
      </c>
      <c r="AL183" s="5" t="s">
        <v>139</v>
      </c>
    </row>
    <row r="184" spans="1:38" x14ac:dyDescent="0.35">
      <c r="A184" s="7">
        <v>204</v>
      </c>
      <c r="B184" s="7" t="s">
        <v>126</v>
      </c>
      <c r="C184" s="9">
        <v>1.81</v>
      </c>
      <c r="D184" s="2">
        <v>49</v>
      </c>
      <c r="E184" s="7" t="s">
        <v>60</v>
      </c>
      <c r="F184" t="s">
        <v>52</v>
      </c>
      <c r="G184" t="s">
        <v>165</v>
      </c>
      <c r="H184">
        <v>0</v>
      </c>
      <c r="I184" s="13">
        <v>0</v>
      </c>
      <c r="J184" s="12">
        <v>3</v>
      </c>
      <c r="K184" s="7">
        <v>3</v>
      </c>
      <c r="L184" s="2">
        <f t="shared" si="15"/>
        <v>0</v>
      </c>
      <c r="M184" s="9">
        <v>7</v>
      </c>
      <c r="N184" s="9">
        <v>7</v>
      </c>
      <c r="O184">
        <f t="shared" si="16"/>
        <v>0</v>
      </c>
      <c r="P184" s="9">
        <v>1</v>
      </c>
      <c r="Q184" s="9">
        <v>1</v>
      </c>
      <c r="R184">
        <f t="shared" si="17"/>
        <v>0</v>
      </c>
      <c r="S184">
        <v>3</v>
      </c>
      <c r="T184">
        <v>3</v>
      </c>
      <c r="U184">
        <f t="shared" si="18"/>
        <v>0</v>
      </c>
      <c r="V184">
        <v>1</v>
      </c>
      <c r="W184">
        <v>1</v>
      </c>
      <c r="X184">
        <f t="shared" si="19"/>
        <v>0</v>
      </c>
      <c r="Y184" s="12">
        <v>0</v>
      </c>
      <c r="Z184" s="2">
        <v>0</v>
      </c>
      <c r="AA184" s="2">
        <v>0</v>
      </c>
      <c r="AB184" s="2">
        <f t="shared" si="21"/>
        <v>0</v>
      </c>
      <c r="AC184" s="2">
        <v>0</v>
      </c>
      <c r="AD184" s="2">
        <v>0</v>
      </c>
      <c r="AE184" s="2">
        <v>0</v>
      </c>
      <c r="AF184" s="2">
        <v>0</v>
      </c>
      <c r="AG184" s="2">
        <v>0</v>
      </c>
      <c r="AH184" s="2">
        <v>0</v>
      </c>
      <c r="AI184" s="2">
        <v>0</v>
      </c>
      <c r="AJ184" s="2">
        <v>0</v>
      </c>
      <c r="AK184">
        <f t="shared" si="20"/>
        <v>1</v>
      </c>
      <c r="AL184" s="2" t="s">
        <v>139</v>
      </c>
    </row>
    <row r="185" spans="1:38" x14ac:dyDescent="0.35">
      <c r="A185" s="7">
        <v>205</v>
      </c>
      <c r="B185" s="7" t="s">
        <v>17</v>
      </c>
      <c r="C185">
        <v>-0.04</v>
      </c>
      <c r="D185" s="5">
        <v>12</v>
      </c>
      <c r="E185" s="7" t="s">
        <v>60</v>
      </c>
      <c r="F185" t="s">
        <v>55</v>
      </c>
      <c r="G185" s="7" t="s">
        <v>166</v>
      </c>
      <c r="H185">
        <v>0</v>
      </c>
      <c r="I185" s="13">
        <v>0.25</v>
      </c>
      <c r="J185" s="12">
        <v>2</v>
      </c>
      <c r="K185" s="7">
        <v>2</v>
      </c>
      <c r="L185" s="2">
        <f t="shared" si="15"/>
        <v>0</v>
      </c>
      <c r="M185" s="9">
        <v>3</v>
      </c>
      <c r="N185" s="9">
        <v>3</v>
      </c>
      <c r="O185">
        <f t="shared" si="16"/>
        <v>0</v>
      </c>
      <c r="P185" s="9">
        <v>1</v>
      </c>
      <c r="Q185" s="9">
        <v>1</v>
      </c>
      <c r="R185">
        <f t="shared" si="17"/>
        <v>0</v>
      </c>
      <c r="S185">
        <v>1</v>
      </c>
      <c r="T185">
        <v>2</v>
      </c>
      <c r="U185">
        <f t="shared" si="18"/>
        <v>1</v>
      </c>
      <c r="V185">
        <v>0</v>
      </c>
      <c r="W185">
        <v>1</v>
      </c>
      <c r="X185">
        <f t="shared" si="19"/>
        <v>1</v>
      </c>
      <c r="Y185" s="12">
        <v>0</v>
      </c>
      <c r="Z185" s="2">
        <v>0</v>
      </c>
      <c r="AA185" s="2">
        <v>0</v>
      </c>
      <c r="AB185" s="2">
        <f t="shared" si="21"/>
        <v>0</v>
      </c>
      <c r="AC185" s="2">
        <v>0</v>
      </c>
      <c r="AD185" s="2">
        <v>1</v>
      </c>
      <c r="AE185" s="2">
        <v>0</v>
      </c>
      <c r="AF185" s="2">
        <v>1</v>
      </c>
      <c r="AG185" s="2">
        <v>0</v>
      </c>
      <c r="AH185" s="2">
        <v>0</v>
      </c>
      <c r="AI185" s="2">
        <v>0</v>
      </c>
      <c r="AJ185" s="2">
        <v>1</v>
      </c>
      <c r="AK185">
        <f t="shared" si="20"/>
        <v>0</v>
      </c>
      <c r="AL185" s="5" t="s">
        <v>38</v>
      </c>
    </row>
    <row r="186" spans="1:38" x14ac:dyDescent="0.35">
      <c r="A186" s="7">
        <v>206</v>
      </c>
      <c r="B186" s="7" t="s">
        <v>17</v>
      </c>
      <c r="C186">
        <v>-0.04</v>
      </c>
      <c r="D186" s="5">
        <v>13</v>
      </c>
      <c r="E186" s="7" t="s">
        <v>159</v>
      </c>
      <c r="F186" t="s">
        <v>52</v>
      </c>
      <c r="G186" t="s">
        <v>165</v>
      </c>
      <c r="H186">
        <v>0</v>
      </c>
      <c r="I186" s="13">
        <v>0.25</v>
      </c>
      <c r="J186" s="12">
        <v>3</v>
      </c>
      <c r="K186" s="7">
        <v>3</v>
      </c>
      <c r="L186" s="2">
        <f t="shared" si="15"/>
        <v>0</v>
      </c>
      <c r="M186" s="9">
        <v>8</v>
      </c>
      <c r="N186" s="9">
        <v>7</v>
      </c>
      <c r="O186">
        <f t="shared" si="16"/>
        <v>-1</v>
      </c>
      <c r="P186" s="9">
        <v>2</v>
      </c>
      <c r="Q186" s="9">
        <v>2</v>
      </c>
      <c r="R186">
        <f t="shared" si="17"/>
        <v>0</v>
      </c>
      <c r="S186">
        <v>2</v>
      </c>
      <c r="T186">
        <v>2</v>
      </c>
      <c r="U186">
        <f t="shared" si="18"/>
        <v>0</v>
      </c>
      <c r="V186">
        <v>0</v>
      </c>
      <c r="W186">
        <v>1</v>
      </c>
      <c r="X186">
        <f t="shared" si="19"/>
        <v>1</v>
      </c>
      <c r="Y186" s="12">
        <v>0</v>
      </c>
      <c r="Z186" s="2">
        <v>0</v>
      </c>
      <c r="AA186" s="2">
        <v>0</v>
      </c>
      <c r="AB186" s="2">
        <f t="shared" si="21"/>
        <v>0</v>
      </c>
      <c r="AC186" s="2">
        <v>0</v>
      </c>
      <c r="AD186" s="2">
        <v>0</v>
      </c>
      <c r="AE186" s="2">
        <v>0</v>
      </c>
      <c r="AF186" s="2">
        <v>1</v>
      </c>
      <c r="AG186" s="2">
        <v>0</v>
      </c>
      <c r="AH186" s="2">
        <v>0</v>
      </c>
      <c r="AI186" s="2">
        <v>1</v>
      </c>
      <c r="AJ186" s="2">
        <v>0</v>
      </c>
      <c r="AK186">
        <f t="shared" si="20"/>
        <v>0</v>
      </c>
      <c r="AL186" s="5" t="s">
        <v>38</v>
      </c>
    </row>
    <row r="187" spans="1:38" x14ac:dyDescent="0.35">
      <c r="A187" s="7">
        <v>207</v>
      </c>
      <c r="B187" s="7" t="s">
        <v>162</v>
      </c>
      <c r="C187" s="7">
        <v>-0.37</v>
      </c>
      <c r="D187" s="2">
        <v>14</v>
      </c>
      <c r="E187" s="7" t="s">
        <v>161</v>
      </c>
      <c r="F187" t="s">
        <v>54</v>
      </c>
      <c r="G187" t="s">
        <v>165</v>
      </c>
      <c r="H187" s="7">
        <v>1</v>
      </c>
      <c r="I187" s="13">
        <v>0.25</v>
      </c>
      <c r="J187" s="12">
        <v>2</v>
      </c>
      <c r="K187" s="7">
        <v>2</v>
      </c>
      <c r="L187" s="2">
        <f t="shared" si="15"/>
        <v>0</v>
      </c>
      <c r="M187" s="9">
        <v>8</v>
      </c>
      <c r="N187" s="9">
        <v>7</v>
      </c>
      <c r="O187">
        <f t="shared" si="16"/>
        <v>-1</v>
      </c>
      <c r="P187" s="9">
        <v>3</v>
      </c>
      <c r="Q187" s="9">
        <v>3</v>
      </c>
      <c r="R187">
        <f t="shared" si="17"/>
        <v>0</v>
      </c>
      <c r="S187">
        <v>5</v>
      </c>
      <c r="T187">
        <v>3</v>
      </c>
      <c r="U187">
        <f t="shared" si="18"/>
        <v>-2</v>
      </c>
      <c r="V187">
        <v>2</v>
      </c>
      <c r="W187">
        <v>2</v>
      </c>
      <c r="X187">
        <f t="shared" si="19"/>
        <v>0</v>
      </c>
      <c r="Y187" s="12">
        <v>0</v>
      </c>
      <c r="Z187" s="2">
        <v>1</v>
      </c>
      <c r="AA187" s="2">
        <v>0</v>
      </c>
      <c r="AB187" s="2">
        <f t="shared" si="21"/>
        <v>1</v>
      </c>
      <c r="AC187" s="2">
        <v>0</v>
      </c>
      <c r="AD187" s="2">
        <v>1</v>
      </c>
      <c r="AE187" s="2">
        <v>0</v>
      </c>
      <c r="AF187" s="2">
        <v>1</v>
      </c>
      <c r="AG187" s="2">
        <v>0</v>
      </c>
      <c r="AH187" s="2">
        <v>1</v>
      </c>
      <c r="AI187" s="2">
        <v>1</v>
      </c>
      <c r="AJ187" s="2">
        <v>0</v>
      </c>
      <c r="AK187">
        <f t="shared" si="20"/>
        <v>0</v>
      </c>
      <c r="AL187" s="2" t="s">
        <v>135</v>
      </c>
    </row>
    <row r="188" spans="1:38" x14ac:dyDescent="0.35">
      <c r="A188" s="7">
        <v>208</v>
      </c>
      <c r="B188" s="7" t="s">
        <v>126</v>
      </c>
      <c r="C188" s="9">
        <v>1.81</v>
      </c>
      <c r="D188" s="2">
        <v>12</v>
      </c>
      <c r="E188" s="7" t="s">
        <v>140</v>
      </c>
      <c r="F188" t="s">
        <v>52</v>
      </c>
      <c r="G188" t="s">
        <v>165</v>
      </c>
      <c r="H188">
        <v>0</v>
      </c>
      <c r="I188" s="13">
        <v>0.75</v>
      </c>
      <c r="J188" s="12">
        <v>4</v>
      </c>
      <c r="K188" s="7">
        <v>4</v>
      </c>
      <c r="L188" s="2">
        <f t="shared" si="15"/>
        <v>0</v>
      </c>
      <c r="M188" s="9">
        <v>8</v>
      </c>
      <c r="N188" s="9">
        <v>2</v>
      </c>
      <c r="O188">
        <f t="shared" si="16"/>
        <v>-6</v>
      </c>
      <c r="P188" s="9">
        <v>3</v>
      </c>
      <c r="Q188" s="9">
        <v>3</v>
      </c>
      <c r="R188">
        <f t="shared" si="17"/>
        <v>0</v>
      </c>
      <c r="S188">
        <v>1</v>
      </c>
      <c r="T188">
        <v>1</v>
      </c>
      <c r="U188">
        <f t="shared" si="18"/>
        <v>0</v>
      </c>
      <c r="V188">
        <v>1</v>
      </c>
      <c r="W188">
        <v>1</v>
      </c>
      <c r="X188">
        <f t="shared" si="19"/>
        <v>0</v>
      </c>
      <c r="Y188" s="12">
        <v>0</v>
      </c>
      <c r="Z188" s="2">
        <v>1</v>
      </c>
      <c r="AA188" s="2">
        <v>0</v>
      </c>
      <c r="AB188" s="2">
        <f t="shared" si="21"/>
        <v>1</v>
      </c>
      <c r="AC188" s="2">
        <v>0</v>
      </c>
      <c r="AD188" s="2">
        <v>0</v>
      </c>
      <c r="AE188" s="2">
        <v>0</v>
      </c>
      <c r="AF188" s="2">
        <v>1</v>
      </c>
      <c r="AG188" s="2">
        <v>0</v>
      </c>
      <c r="AH188" s="2">
        <v>0</v>
      </c>
      <c r="AI188" s="2">
        <v>0</v>
      </c>
      <c r="AJ188" s="2">
        <v>1</v>
      </c>
      <c r="AK188">
        <f t="shared" si="20"/>
        <v>0</v>
      </c>
      <c r="AL188" s="2" t="s">
        <v>42</v>
      </c>
    </row>
    <row r="189" spans="1:38" x14ac:dyDescent="0.35">
      <c r="A189" s="7">
        <v>209</v>
      </c>
      <c r="B189" s="7" t="s">
        <v>162</v>
      </c>
      <c r="C189" s="7">
        <v>-0.37</v>
      </c>
      <c r="D189" s="2">
        <v>40</v>
      </c>
      <c r="E189" s="7" t="s">
        <v>51</v>
      </c>
      <c r="F189" t="s">
        <v>55</v>
      </c>
      <c r="G189" t="s">
        <v>165</v>
      </c>
      <c r="H189" s="7">
        <v>1</v>
      </c>
      <c r="I189" s="13">
        <v>0.25</v>
      </c>
      <c r="J189" s="12">
        <v>10</v>
      </c>
      <c r="K189" s="7">
        <v>7</v>
      </c>
      <c r="L189" s="2">
        <f t="shared" si="15"/>
        <v>-3</v>
      </c>
      <c r="M189" s="9">
        <v>5</v>
      </c>
      <c r="N189" s="9">
        <v>3</v>
      </c>
      <c r="O189">
        <f t="shared" si="16"/>
        <v>-2</v>
      </c>
      <c r="P189" s="9">
        <v>1</v>
      </c>
      <c r="Q189" s="9">
        <v>2</v>
      </c>
      <c r="R189">
        <f t="shared" si="17"/>
        <v>1</v>
      </c>
      <c r="S189">
        <v>5</v>
      </c>
      <c r="T189">
        <v>3</v>
      </c>
      <c r="U189">
        <f t="shared" si="18"/>
        <v>-2</v>
      </c>
      <c r="V189">
        <v>1</v>
      </c>
      <c r="W189">
        <v>2</v>
      </c>
      <c r="X189">
        <f t="shared" si="19"/>
        <v>1</v>
      </c>
      <c r="Y189" s="12">
        <v>0</v>
      </c>
      <c r="Z189" s="2">
        <v>0</v>
      </c>
      <c r="AA189" s="2">
        <v>1</v>
      </c>
      <c r="AB189" s="2">
        <f t="shared" si="21"/>
        <v>1</v>
      </c>
      <c r="AC189" s="2">
        <v>0</v>
      </c>
      <c r="AD189" s="2">
        <v>1</v>
      </c>
      <c r="AE189" s="2">
        <v>0</v>
      </c>
      <c r="AF189" s="2">
        <v>0</v>
      </c>
      <c r="AG189" s="2">
        <v>1</v>
      </c>
      <c r="AH189" s="2">
        <v>0</v>
      </c>
      <c r="AI189" s="2">
        <v>1</v>
      </c>
      <c r="AJ189" s="2">
        <v>0</v>
      </c>
      <c r="AK189">
        <f t="shared" si="20"/>
        <v>0</v>
      </c>
      <c r="AL189" s="2" t="s">
        <v>5</v>
      </c>
    </row>
    <row r="190" spans="1:38" x14ac:dyDescent="0.35">
      <c r="A190" s="7">
        <v>210</v>
      </c>
      <c r="B190" t="s">
        <v>15</v>
      </c>
      <c r="C190">
        <v>1.61</v>
      </c>
      <c r="D190" s="2">
        <v>9</v>
      </c>
      <c r="E190" t="s">
        <v>51</v>
      </c>
      <c r="F190" t="s">
        <v>52</v>
      </c>
      <c r="G190" t="s">
        <v>166</v>
      </c>
      <c r="H190">
        <v>1</v>
      </c>
      <c r="I190" s="13">
        <v>0.75</v>
      </c>
      <c r="J190" s="12">
        <v>11</v>
      </c>
      <c r="K190" s="7">
        <v>10.5</v>
      </c>
      <c r="L190" s="2">
        <f t="shared" si="15"/>
        <v>-0.5</v>
      </c>
      <c r="M190" s="9">
        <v>7</v>
      </c>
      <c r="N190" s="9">
        <v>2</v>
      </c>
      <c r="O190">
        <f t="shared" si="16"/>
        <v>-5</v>
      </c>
      <c r="P190" s="9">
        <v>2</v>
      </c>
      <c r="Q190" s="9">
        <v>2</v>
      </c>
      <c r="R190">
        <f t="shared" si="17"/>
        <v>0</v>
      </c>
      <c r="S190">
        <v>4</v>
      </c>
      <c r="T190">
        <v>4</v>
      </c>
      <c r="U190">
        <f t="shared" si="18"/>
        <v>0</v>
      </c>
      <c r="V190">
        <v>2</v>
      </c>
      <c r="W190">
        <v>2</v>
      </c>
      <c r="X190">
        <f t="shared" si="19"/>
        <v>0</v>
      </c>
      <c r="Y190" s="12">
        <v>0</v>
      </c>
      <c r="Z190" s="2">
        <v>1</v>
      </c>
      <c r="AA190" s="2">
        <v>1</v>
      </c>
      <c r="AB190" s="2">
        <f t="shared" si="21"/>
        <v>1</v>
      </c>
      <c r="AC190" s="2">
        <v>1</v>
      </c>
      <c r="AD190" s="2">
        <v>0</v>
      </c>
      <c r="AE190" s="2">
        <v>0</v>
      </c>
      <c r="AF190" s="2">
        <v>1</v>
      </c>
      <c r="AG190" s="2">
        <v>0</v>
      </c>
      <c r="AH190" s="2">
        <v>0</v>
      </c>
      <c r="AI190" s="2">
        <v>0</v>
      </c>
      <c r="AJ190" s="2">
        <v>0</v>
      </c>
      <c r="AK190">
        <f t="shared" si="20"/>
        <v>0</v>
      </c>
      <c r="AL190" s="2" t="s">
        <v>135</v>
      </c>
    </row>
    <row r="191" spans="1:38" x14ac:dyDescent="0.35">
      <c r="A191" s="7">
        <v>211</v>
      </c>
      <c r="B191" t="s">
        <v>17</v>
      </c>
      <c r="C191">
        <v>-0.04</v>
      </c>
      <c r="D191" s="2">
        <v>17</v>
      </c>
      <c r="E191" t="s">
        <v>159</v>
      </c>
      <c r="F191" t="s">
        <v>54</v>
      </c>
      <c r="G191" t="s">
        <v>166</v>
      </c>
      <c r="H191">
        <v>0</v>
      </c>
      <c r="I191" s="13">
        <v>0.25</v>
      </c>
      <c r="J191" s="12">
        <v>1</v>
      </c>
      <c r="K191" s="7">
        <v>1</v>
      </c>
      <c r="L191" s="2">
        <f t="shared" si="15"/>
        <v>0</v>
      </c>
      <c r="M191" s="9">
        <v>3</v>
      </c>
      <c r="N191" s="9">
        <v>3</v>
      </c>
      <c r="O191">
        <f t="shared" si="16"/>
        <v>0</v>
      </c>
      <c r="P191" s="9">
        <v>2</v>
      </c>
      <c r="Q191" s="9">
        <v>2</v>
      </c>
      <c r="R191">
        <f t="shared" si="17"/>
        <v>0</v>
      </c>
      <c r="S191">
        <v>1</v>
      </c>
      <c r="T191">
        <v>1</v>
      </c>
      <c r="U191">
        <f t="shared" si="18"/>
        <v>0</v>
      </c>
      <c r="V191">
        <v>0</v>
      </c>
      <c r="W191">
        <v>0</v>
      </c>
      <c r="X191">
        <f t="shared" si="19"/>
        <v>0</v>
      </c>
      <c r="Y191" s="12">
        <v>0</v>
      </c>
      <c r="Z191" s="2">
        <v>0</v>
      </c>
      <c r="AA191" s="2">
        <v>1</v>
      </c>
      <c r="AB191" s="2">
        <f t="shared" si="21"/>
        <v>1</v>
      </c>
      <c r="AC191" s="2">
        <v>0</v>
      </c>
      <c r="AD191" s="2">
        <v>1</v>
      </c>
      <c r="AE191" s="2">
        <v>0</v>
      </c>
      <c r="AF191" s="2">
        <v>1</v>
      </c>
      <c r="AG191" s="2">
        <v>1</v>
      </c>
      <c r="AH191" s="2">
        <v>1</v>
      </c>
      <c r="AI191" s="2">
        <v>0</v>
      </c>
      <c r="AJ191" s="2">
        <v>0</v>
      </c>
      <c r="AK191">
        <f t="shared" si="20"/>
        <v>0</v>
      </c>
      <c r="AL191" s="2" t="s">
        <v>136</v>
      </c>
    </row>
    <row r="192" spans="1:38" x14ac:dyDescent="0.35">
      <c r="A192" s="7">
        <v>212</v>
      </c>
      <c r="B192" t="s">
        <v>17</v>
      </c>
      <c r="C192">
        <v>-0.04</v>
      </c>
      <c r="D192" s="5">
        <v>98</v>
      </c>
      <c r="E192" t="s">
        <v>159</v>
      </c>
      <c r="F192" t="s">
        <v>52</v>
      </c>
      <c r="G192" t="s">
        <v>165</v>
      </c>
      <c r="H192">
        <v>0</v>
      </c>
      <c r="I192" s="13">
        <v>0.25</v>
      </c>
      <c r="J192" s="12">
        <v>2</v>
      </c>
      <c r="K192" s="7">
        <v>2</v>
      </c>
      <c r="L192" s="2">
        <f t="shared" si="15"/>
        <v>0</v>
      </c>
      <c r="M192" s="9">
        <v>8</v>
      </c>
      <c r="N192" s="9">
        <v>7</v>
      </c>
      <c r="O192">
        <f t="shared" si="16"/>
        <v>-1</v>
      </c>
      <c r="P192" s="9">
        <v>2</v>
      </c>
      <c r="Q192" s="9">
        <v>2</v>
      </c>
      <c r="R192">
        <f t="shared" si="17"/>
        <v>0</v>
      </c>
      <c r="S192">
        <v>2</v>
      </c>
      <c r="T192">
        <v>2</v>
      </c>
      <c r="U192">
        <f t="shared" si="18"/>
        <v>0</v>
      </c>
      <c r="V192">
        <v>1</v>
      </c>
      <c r="W192">
        <v>1</v>
      </c>
      <c r="X192">
        <f t="shared" si="19"/>
        <v>0</v>
      </c>
      <c r="Y192" s="2">
        <v>0</v>
      </c>
      <c r="Z192" s="2">
        <v>0</v>
      </c>
      <c r="AA192" s="2">
        <v>0</v>
      </c>
      <c r="AB192" s="2">
        <f t="shared" si="21"/>
        <v>0</v>
      </c>
      <c r="AC192" s="2">
        <v>0</v>
      </c>
      <c r="AD192" s="2">
        <v>1</v>
      </c>
      <c r="AE192" s="2">
        <v>0</v>
      </c>
      <c r="AF192" s="2">
        <v>1</v>
      </c>
      <c r="AG192" s="2">
        <v>0</v>
      </c>
      <c r="AH192" s="2">
        <v>0</v>
      </c>
      <c r="AI192" s="2">
        <v>1</v>
      </c>
      <c r="AJ192" s="2">
        <v>1</v>
      </c>
      <c r="AK192">
        <f t="shared" si="20"/>
        <v>0</v>
      </c>
      <c r="AL192" s="5" t="s">
        <v>38</v>
      </c>
    </row>
    <row r="193" spans="1:38" x14ac:dyDescent="0.35">
      <c r="A193" s="7">
        <v>214</v>
      </c>
      <c r="B193" t="s">
        <v>17</v>
      </c>
      <c r="C193">
        <v>-0.04</v>
      </c>
      <c r="D193" s="2">
        <v>12</v>
      </c>
      <c r="E193" t="s">
        <v>61</v>
      </c>
      <c r="F193" t="s">
        <v>53</v>
      </c>
      <c r="G193" t="s">
        <v>165</v>
      </c>
      <c r="H193">
        <v>0</v>
      </c>
      <c r="I193" s="13">
        <v>0</v>
      </c>
      <c r="J193" s="12">
        <v>3</v>
      </c>
      <c r="K193" s="7">
        <v>4</v>
      </c>
      <c r="L193" s="2">
        <f t="shared" si="15"/>
        <v>1</v>
      </c>
      <c r="M193" s="9">
        <v>2</v>
      </c>
      <c r="N193" s="9">
        <v>2</v>
      </c>
      <c r="O193">
        <f t="shared" si="16"/>
        <v>0</v>
      </c>
      <c r="P193" s="9">
        <v>3</v>
      </c>
      <c r="Q193" s="9">
        <v>3</v>
      </c>
      <c r="R193">
        <f t="shared" si="17"/>
        <v>0</v>
      </c>
      <c r="S193">
        <v>2</v>
      </c>
      <c r="T193">
        <v>2</v>
      </c>
      <c r="U193">
        <f t="shared" si="18"/>
        <v>0</v>
      </c>
      <c r="V193">
        <v>1</v>
      </c>
      <c r="W193">
        <v>1</v>
      </c>
      <c r="X193">
        <f t="shared" si="19"/>
        <v>0</v>
      </c>
      <c r="Y193" s="2">
        <v>0</v>
      </c>
      <c r="Z193" s="2">
        <v>1</v>
      </c>
      <c r="AA193" s="2">
        <v>1</v>
      </c>
      <c r="AB193" s="2">
        <f t="shared" si="21"/>
        <v>1</v>
      </c>
      <c r="AC193" s="2">
        <v>1</v>
      </c>
      <c r="AD193" s="2">
        <v>1</v>
      </c>
      <c r="AE193" s="2">
        <v>0</v>
      </c>
      <c r="AF193" s="2">
        <v>1</v>
      </c>
      <c r="AG193" s="2">
        <v>0</v>
      </c>
      <c r="AH193" s="2">
        <v>1</v>
      </c>
      <c r="AI193" s="2">
        <v>1</v>
      </c>
      <c r="AJ193" s="2">
        <v>0</v>
      </c>
      <c r="AK193">
        <f t="shared" si="20"/>
        <v>0</v>
      </c>
      <c r="AL193" s="2" t="s">
        <v>46</v>
      </c>
    </row>
    <row r="194" spans="1:38" x14ac:dyDescent="0.35">
      <c r="A194" s="7">
        <v>215</v>
      </c>
      <c r="B194" t="s">
        <v>126</v>
      </c>
      <c r="C194" s="9">
        <v>1.81</v>
      </c>
      <c r="D194" s="2">
        <v>18</v>
      </c>
      <c r="E194" t="s">
        <v>60</v>
      </c>
      <c r="F194" t="s">
        <v>52</v>
      </c>
      <c r="G194" t="s">
        <v>165</v>
      </c>
      <c r="H194">
        <v>0</v>
      </c>
      <c r="I194" s="13">
        <v>0.75</v>
      </c>
      <c r="J194" s="12">
        <v>2</v>
      </c>
      <c r="K194" s="7">
        <v>2</v>
      </c>
      <c r="L194" s="2">
        <f t="shared" si="15"/>
        <v>0</v>
      </c>
      <c r="M194" s="9">
        <v>8</v>
      </c>
      <c r="N194" s="9">
        <v>8</v>
      </c>
      <c r="O194">
        <f t="shared" si="16"/>
        <v>0</v>
      </c>
      <c r="P194" s="9">
        <v>1</v>
      </c>
      <c r="Q194" s="9">
        <v>1</v>
      </c>
      <c r="R194">
        <f t="shared" si="17"/>
        <v>0</v>
      </c>
      <c r="S194">
        <v>1</v>
      </c>
      <c r="T194">
        <v>3</v>
      </c>
      <c r="U194">
        <f t="shared" si="18"/>
        <v>2</v>
      </c>
      <c r="V194">
        <v>0</v>
      </c>
      <c r="W194">
        <v>1</v>
      </c>
      <c r="X194">
        <f t="shared" si="19"/>
        <v>1</v>
      </c>
      <c r="Y194" s="2">
        <v>0</v>
      </c>
      <c r="Z194" s="2">
        <v>1</v>
      </c>
      <c r="AA194" s="2">
        <v>1</v>
      </c>
      <c r="AB194" s="2">
        <f t="shared" si="21"/>
        <v>1</v>
      </c>
      <c r="AC194" s="2">
        <v>0</v>
      </c>
      <c r="AD194" s="2">
        <v>1</v>
      </c>
      <c r="AE194" s="2">
        <v>0</v>
      </c>
      <c r="AF194" s="2">
        <v>1</v>
      </c>
      <c r="AG194" s="2">
        <v>0</v>
      </c>
      <c r="AH194" s="2">
        <v>0</v>
      </c>
      <c r="AI194" s="2">
        <v>1</v>
      </c>
      <c r="AJ194" s="2">
        <v>1</v>
      </c>
      <c r="AK194">
        <f t="shared" si="20"/>
        <v>0</v>
      </c>
      <c r="AL194" s="2" t="s">
        <v>135</v>
      </c>
    </row>
    <row r="195" spans="1:38" x14ac:dyDescent="0.35">
      <c r="A195" s="7">
        <v>216</v>
      </c>
      <c r="B195" t="s">
        <v>15</v>
      </c>
      <c r="C195">
        <v>1.61</v>
      </c>
      <c r="D195" s="2">
        <v>66</v>
      </c>
      <c r="E195" t="s">
        <v>51</v>
      </c>
      <c r="F195" t="s">
        <v>55</v>
      </c>
      <c r="G195" t="s">
        <v>165</v>
      </c>
      <c r="H195">
        <v>0</v>
      </c>
      <c r="I195" s="13">
        <v>0.5</v>
      </c>
      <c r="J195" s="12">
        <v>3</v>
      </c>
      <c r="K195" s="7">
        <v>3</v>
      </c>
      <c r="L195" s="2">
        <f t="shared" ref="L195:L210" si="22">K195-J195</f>
        <v>0</v>
      </c>
      <c r="M195" s="9">
        <v>9</v>
      </c>
      <c r="N195" s="9">
        <v>9</v>
      </c>
      <c r="O195">
        <f t="shared" ref="O195:O210" si="23">N195-M195</f>
        <v>0</v>
      </c>
      <c r="P195" s="9">
        <v>1</v>
      </c>
      <c r="Q195" s="9">
        <v>1</v>
      </c>
      <c r="R195">
        <f t="shared" ref="R195:R210" si="24">Q195-P195</f>
        <v>0</v>
      </c>
      <c r="S195">
        <v>2</v>
      </c>
      <c r="T195">
        <v>2</v>
      </c>
      <c r="U195">
        <f t="shared" ref="U195:U210" si="25">T195-S195</f>
        <v>0</v>
      </c>
      <c r="V195">
        <v>0</v>
      </c>
      <c r="W195">
        <v>1</v>
      </c>
      <c r="X195">
        <f t="shared" ref="X195:X210" si="26">W195-V195</f>
        <v>1</v>
      </c>
      <c r="Y195" s="2">
        <v>0</v>
      </c>
      <c r="Z195" s="2">
        <v>0</v>
      </c>
      <c r="AA195" s="2">
        <v>0</v>
      </c>
      <c r="AB195" s="2">
        <f t="shared" si="21"/>
        <v>0</v>
      </c>
      <c r="AC195" s="2">
        <v>0</v>
      </c>
      <c r="AD195" s="2">
        <v>0</v>
      </c>
      <c r="AE195" s="2">
        <v>0</v>
      </c>
      <c r="AF195" s="2">
        <v>0</v>
      </c>
      <c r="AG195" s="2">
        <v>0</v>
      </c>
      <c r="AH195" s="2">
        <v>0</v>
      </c>
      <c r="AI195" s="2">
        <v>0</v>
      </c>
      <c r="AJ195" s="2">
        <v>0</v>
      </c>
      <c r="AK195">
        <f t="shared" ref="AK195:AK210" si="27">IF(Y195+Z195+AA195+AC195+AD195+AE195+AF195+AG195+AH195+AI195+AJ195=0,1,0)</f>
        <v>1</v>
      </c>
      <c r="AL195" s="2" t="s">
        <v>139</v>
      </c>
    </row>
    <row r="196" spans="1:38" x14ac:dyDescent="0.35">
      <c r="A196" s="7">
        <v>217</v>
      </c>
      <c r="B196" t="s">
        <v>17</v>
      </c>
      <c r="C196">
        <v>-0.04</v>
      </c>
      <c r="D196" s="2">
        <v>135</v>
      </c>
      <c r="E196" t="s">
        <v>61</v>
      </c>
      <c r="F196" t="s">
        <v>54</v>
      </c>
      <c r="G196" t="s">
        <v>165</v>
      </c>
      <c r="H196">
        <v>0</v>
      </c>
      <c r="I196" s="13">
        <v>0.25</v>
      </c>
      <c r="J196" s="12">
        <v>5</v>
      </c>
      <c r="K196" s="7">
        <v>5</v>
      </c>
      <c r="L196" s="2">
        <f t="shared" si="22"/>
        <v>0</v>
      </c>
      <c r="M196" s="9">
        <v>5</v>
      </c>
      <c r="N196" s="9">
        <v>4.5</v>
      </c>
      <c r="O196">
        <f t="shared" si="23"/>
        <v>-0.5</v>
      </c>
      <c r="P196" s="9">
        <v>2</v>
      </c>
      <c r="Q196" s="9">
        <v>2</v>
      </c>
      <c r="R196">
        <f t="shared" si="24"/>
        <v>0</v>
      </c>
      <c r="S196">
        <v>3</v>
      </c>
      <c r="T196">
        <v>3</v>
      </c>
      <c r="U196">
        <f t="shared" si="25"/>
        <v>0</v>
      </c>
      <c r="V196">
        <v>2</v>
      </c>
      <c r="W196">
        <v>2</v>
      </c>
      <c r="X196">
        <f t="shared" si="26"/>
        <v>0</v>
      </c>
      <c r="Y196" s="2">
        <v>0</v>
      </c>
      <c r="Z196" s="2">
        <v>1</v>
      </c>
      <c r="AA196" s="2">
        <v>1</v>
      </c>
      <c r="AB196" s="2">
        <f t="shared" si="21"/>
        <v>1</v>
      </c>
      <c r="AC196" s="2">
        <v>1</v>
      </c>
      <c r="AD196" s="2">
        <v>1</v>
      </c>
      <c r="AE196" s="2">
        <v>0</v>
      </c>
      <c r="AF196" s="2">
        <v>1</v>
      </c>
      <c r="AG196" s="2">
        <v>1</v>
      </c>
      <c r="AH196" s="2">
        <v>1</v>
      </c>
      <c r="AI196" s="2">
        <v>1</v>
      </c>
      <c r="AJ196" s="2">
        <v>0</v>
      </c>
      <c r="AK196">
        <f t="shared" si="27"/>
        <v>0</v>
      </c>
      <c r="AL196" s="2" t="s">
        <v>5</v>
      </c>
    </row>
    <row r="197" spans="1:38" x14ac:dyDescent="0.35">
      <c r="A197" s="7">
        <v>218</v>
      </c>
      <c r="B197" t="s">
        <v>17</v>
      </c>
      <c r="C197">
        <v>-0.04</v>
      </c>
      <c r="D197" s="2">
        <v>137</v>
      </c>
      <c r="E197" t="s">
        <v>61</v>
      </c>
      <c r="F197" t="s">
        <v>52</v>
      </c>
      <c r="G197" t="s">
        <v>165</v>
      </c>
      <c r="H197">
        <v>0</v>
      </c>
      <c r="I197" s="13">
        <v>0.5</v>
      </c>
      <c r="J197" s="12">
        <v>4</v>
      </c>
      <c r="K197" s="7">
        <v>3</v>
      </c>
      <c r="L197" s="2">
        <f t="shared" si="22"/>
        <v>-1</v>
      </c>
      <c r="M197" s="9">
        <v>9</v>
      </c>
      <c r="N197" s="9">
        <v>4</v>
      </c>
      <c r="O197">
        <f t="shared" si="23"/>
        <v>-5</v>
      </c>
      <c r="P197" s="9">
        <v>3</v>
      </c>
      <c r="Q197" s="9">
        <v>3</v>
      </c>
      <c r="R197">
        <f t="shared" si="24"/>
        <v>0</v>
      </c>
      <c r="S197">
        <v>3</v>
      </c>
      <c r="T197">
        <v>3</v>
      </c>
      <c r="U197">
        <f t="shared" si="25"/>
        <v>0</v>
      </c>
      <c r="V197">
        <v>2</v>
      </c>
      <c r="W197">
        <v>2</v>
      </c>
      <c r="X197">
        <f t="shared" si="26"/>
        <v>0</v>
      </c>
      <c r="Y197" s="2">
        <v>0</v>
      </c>
      <c r="Z197" s="2">
        <v>0</v>
      </c>
      <c r="AA197" s="2">
        <v>1</v>
      </c>
      <c r="AB197" s="2">
        <f t="shared" si="21"/>
        <v>1</v>
      </c>
      <c r="AC197" s="2">
        <v>0</v>
      </c>
      <c r="AD197" s="2">
        <v>1</v>
      </c>
      <c r="AE197" s="2">
        <v>0</v>
      </c>
      <c r="AF197" s="2">
        <v>1</v>
      </c>
      <c r="AG197" s="2">
        <v>0</v>
      </c>
      <c r="AH197" s="2">
        <v>1</v>
      </c>
      <c r="AI197" s="2">
        <v>1</v>
      </c>
      <c r="AJ197" s="2">
        <v>0</v>
      </c>
      <c r="AK197">
        <f t="shared" si="27"/>
        <v>0</v>
      </c>
      <c r="AL197" s="2" t="s">
        <v>136</v>
      </c>
    </row>
    <row r="198" spans="1:38" x14ac:dyDescent="0.35">
      <c r="A198" s="7">
        <v>219</v>
      </c>
      <c r="B198" t="s">
        <v>17</v>
      </c>
      <c r="C198">
        <v>-0.04</v>
      </c>
      <c r="D198" s="2">
        <v>135</v>
      </c>
      <c r="E198" t="s">
        <v>61</v>
      </c>
      <c r="F198" t="s">
        <v>52</v>
      </c>
      <c r="G198" t="s">
        <v>165</v>
      </c>
      <c r="H198">
        <v>0</v>
      </c>
      <c r="I198" s="13">
        <v>0.5</v>
      </c>
      <c r="J198" s="12">
        <v>3</v>
      </c>
      <c r="K198" s="7">
        <v>3</v>
      </c>
      <c r="L198" s="2">
        <f t="shared" si="22"/>
        <v>0</v>
      </c>
      <c r="M198" s="9">
        <v>5</v>
      </c>
      <c r="N198" s="9">
        <v>5</v>
      </c>
      <c r="O198">
        <f t="shared" si="23"/>
        <v>0</v>
      </c>
      <c r="P198" s="9">
        <v>3</v>
      </c>
      <c r="Q198" s="9">
        <v>3</v>
      </c>
      <c r="R198">
        <f t="shared" si="24"/>
        <v>0</v>
      </c>
      <c r="S198">
        <v>3</v>
      </c>
      <c r="T198">
        <v>3</v>
      </c>
      <c r="U198">
        <f t="shared" si="25"/>
        <v>0</v>
      </c>
      <c r="V198">
        <v>2</v>
      </c>
      <c r="W198">
        <v>2</v>
      </c>
      <c r="X198">
        <f t="shared" si="26"/>
        <v>0</v>
      </c>
      <c r="Y198" s="2">
        <v>0</v>
      </c>
      <c r="Z198" s="2">
        <v>0</v>
      </c>
      <c r="AA198" s="2">
        <v>1</v>
      </c>
      <c r="AB198" s="2">
        <f t="shared" si="21"/>
        <v>1</v>
      </c>
      <c r="AC198" s="2">
        <v>0</v>
      </c>
      <c r="AD198" s="2">
        <v>1</v>
      </c>
      <c r="AE198" s="2">
        <v>0</v>
      </c>
      <c r="AF198" s="2">
        <v>1</v>
      </c>
      <c r="AG198" s="2">
        <v>0</v>
      </c>
      <c r="AH198" s="2">
        <v>1</v>
      </c>
      <c r="AI198" s="2">
        <v>1</v>
      </c>
      <c r="AJ198" s="2">
        <v>0</v>
      </c>
      <c r="AK198">
        <f t="shared" si="27"/>
        <v>0</v>
      </c>
      <c r="AL198" s="2" t="s">
        <v>5</v>
      </c>
    </row>
    <row r="199" spans="1:38" x14ac:dyDescent="0.35">
      <c r="A199" s="7">
        <v>220</v>
      </c>
      <c r="B199" t="s">
        <v>162</v>
      </c>
      <c r="C199" s="7">
        <v>-0.37</v>
      </c>
      <c r="D199" s="2">
        <v>14</v>
      </c>
      <c r="E199" t="s">
        <v>51</v>
      </c>
      <c r="F199" t="s">
        <v>55</v>
      </c>
      <c r="G199" t="s">
        <v>165</v>
      </c>
      <c r="H199">
        <v>1</v>
      </c>
      <c r="I199" s="13">
        <v>0.75</v>
      </c>
      <c r="J199" s="12">
        <v>6</v>
      </c>
      <c r="K199" s="7">
        <v>4</v>
      </c>
      <c r="L199" s="2">
        <f t="shared" si="22"/>
        <v>-2</v>
      </c>
      <c r="M199" s="9">
        <v>9</v>
      </c>
      <c r="N199" s="9">
        <v>3</v>
      </c>
      <c r="O199">
        <f t="shared" si="23"/>
        <v>-6</v>
      </c>
      <c r="P199" s="9">
        <v>2</v>
      </c>
      <c r="Q199" s="9">
        <v>2</v>
      </c>
      <c r="R199">
        <f t="shared" si="24"/>
        <v>0</v>
      </c>
      <c r="S199">
        <v>3</v>
      </c>
      <c r="T199">
        <v>1</v>
      </c>
      <c r="U199">
        <f t="shared" si="25"/>
        <v>-2</v>
      </c>
      <c r="V199">
        <v>1</v>
      </c>
      <c r="W199">
        <v>2</v>
      </c>
      <c r="X199">
        <f t="shared" si="26"/>
        <v>1</v>
      </c>
      <c r="Y199" s="2">
        <v>0</v>
      </c>
      <c r="Z199" s="2">
        <v>1</v>
      </c>
      <c r="AA199" s="2">
        <v>0</v>
      </c>
      <c r="AB199" s="2">
        <f>IF(Z199+AA199&gt;0,1,0)</f>
        <v>1</v>
      </c>
      <c r="AC199" s="2">
        <v>0</v>
      </c>
      <c r="AD199" s="2">
        <v>1</v>
      </c>
      <c r="AE199" s="2">
        <v>0</v>
      </c>
      <c r="AF199" s="2">
        <v>0</v>
      </c>
      <c r="AG199" s="2">
        <v>1</v>
      </c>
      <c r="AH199" s="2">
        <v>1</v>
      </c>
      <c r="AI199" s="2">
        <v>0</v>
      </c>
      <c r="AJ199" s="2">
        <v>0</v>
      </c>
      <c r="AK199">
        <f t="shared" si="27"/>
        <v>0</v>
      </c>
      <c r="AL199" s="2" t="s">
        <v>135</v>
      </c>
    </row>
    <row r="200" spans="1:38" x14ac:dyDescent="0.35">
      <c r="A200" s="7">
        <v>221</v>
      </c>
      <c r="B200" t="s">
        <v>164</v>
      </c>
      <c r="C200">
        <v>1.47</v>
      </c>
      <c r="D200" s="2">
        <v>9</v>
      </c>
      <c r="E200" t="s">
        <v>161</v>
      </c>
      <c r="F200" t="s">
        <v>52</v>
      </c>
      <c r="G200" t="s">
        <v>165</v>
      </c>
      <c r="H200">
        <v>0</v>
      </c>
      <c r="I200" s="13">
        <v>0.25</v>
      </c>
      <c r="J200" s="2">
        <v>4</v>
      </c>
      <c r="K200" s="7">
        <v>4</v>
      </c>
      <c r="L200" s="2">
        <f t="shared" si="22"/>
        <v>0</v>
      </c>
      <c r="M200" s="9">
        <v>2</v>
      </c>
      <c r="N200" s="9">
        <v>2</v>
      </c>
      <c r="O200">
        <f t="shared" si="23"/>
        <v>0</v>
      </c>
      <c r="P200" s="9">
        <v>2</v>
      </c>
      <c r="Q200" s="9">
        <v>2</v>
      </c>
      <c r="R200">
        <f t="shared" si="24"/>
        <v>0</v>
      </c>
      <c r="S200">
        <v>1</v>
      </c>
      <c r="T200">
        <v>1</v>
      </c>
      <c r="U200">
        <f t="shared" si="25"/>
        <v>0</v>
      </c>
      <c r="Y200" s="2">
        <v>0</v>
      </c>
      <c r="Z200" s="2">
        <v>1</v>
      </c>
      <c r="AA200" s="2">
        <v>1</v>
      </c>
      <c r="AB200" s="2">
        <f>IF(Z200+AA200&gt;0,1,0)</f>
        <v>1</v>
      </c>
      <c r="AC200" s="2">
        <v>0</v>
      </c>
      <c r="AD200" s="2">
        <v>1</v>
      </c>
      <c r="AE200" s="2">
        <v>0</v>
      </c>
      <c r="AF200" s="2">
        <v>0</v>
      </c>
      <c r="AG200" s="2">
        <v>0</v>
      </c>
      <c r="AH200" s="2">
        <v>0</v>
      </c>
      <c r="AI200" s="2">
        <v>0</v>
      </c>
      <c r="AJ200" s="2">
        <v>0</v>
      </c>
      <c r="AK200">
        <f t="shared" si="27"/>
        <v>0</v>
      </c>
      <c r="AL200" s="2" t="s">
        <v>5</v>
      </c>
    </row>
    <row r="201" spans="1:38" x14ac:dyDescent="0.35">
      <c r="A201" s="7">
        <v>222</v>
      </c>
      <c r="B201" t="s">
        <v>162</v>
      </c>
      <c r="C201" s="7">
        <v>-0.37</v>
      </c>
      <c r="D201" s="2">
        <v>40</v>
      </c>
      <c r="E201" t="s">
        <v>140</v>
      </c>
      <c r="F201" t="s">
        <v>52</v>
      </c>
      <c r="G201" t="s">
        <v>165</v>
      </c>
      <c r="H201">
        <v>1</v>
      </c>
      <c r="I201" s="13">
        <v>0.5</v>
      </c>
      <c r="J201" s="2">
        <v>4</v>
      </c>
      <c r="K201" s="7">
        <v>4</v>
      </c>
      <c r="L201" s="2">
        <f t="shared" si="22"/>
        <v>0</v>
      </c>
      <c r="M201" s="9">
        <v>9</v>
      </c>
      <c r="N201" s="9">
        <v>7</v>
      </c>
      <c r="O201">
        <f t="shared" si="23"/>
        <v>-2</v>
      </c>
      <c r="P201" s="9">
        <v>2</v>
      </c>
      <c r="Q201" s="9">
        <v>2</v>
      </c>
      <c r="R201">
        <f t="shared" si="24"/>
        <v>0</v>
      </c>
      <c r="S201">
        <v>1</v>
      </c>
      <c r="T201">
        <v>3</v>
      </c>
      <c r="U201">
        <f t="shared" si="25"/>
        <v>2</v>
      </c>
      <c r="V201">
        <v>1</v>
      </c>
      <c r="W201">
        <v>1</v>
      </c>
      <c r="X201">
        <f t="shared" si="26"/>
        <v>0</v>
      </c>
      <c r="Y201" s="2">
        <v>0</v>
      </c>
      <c r="Z201" s="2">
        <v>1</v>
      </c>
      <c r="AA201" s="2">
        <v>0</v>
      </c>
      <c r="AB201" s="2">
        <f>IF(Z201+AA201&gt;0,1,0)</f>
        <v>1</v>
      </c>
      <c r="AC201" s="2">
        <v>0</v>
      </c>
      <c r="AD201" s="2">
        <v>0</v>
      </c>
      <c r="AE201" s="2">
        <v>0</v>
      </c>
      <c r="AF201" s="2">
        <v>1</v>
      </c>
      <c r="AG201" s="2">
        <v>0</v>
      </c>
      <c r="AH201" s="2">
        <v>0</v>
      </c>
      <c r="AI201" s="2">
        <v>0</v>
      </c>
      <c r="AJ201" s="2">
        <v>0</v>
      </c>
      <c r="AK201">
        <f t="shared" si="27"/>
        <v>0</v>
      </c>
      <c r="AL201" s="2" t="s">
        <v>135</v>
      </c>
    </row>
    <row r="202" spans="1:38" x14ac:dyDescent="0.35">
      <c r="A202" s="7">
        <v>223</v>
      </c>
      <c r="B202" t="s">
        <v>15</v>
      </c>
      <c r="C202">
        <v>1.61</v>
      </c>
      <c r="D202" s="2">
        <v>15</v>
      </c>
      <c r="E202" t="s">
        <v>51</v>
      </c>
      <c r="F202" t="s">
        <v>58</v>
      </c>
      <c r="G202" t="s">
        <v>166</v>
      </c>
      <c r="H202">
        <v>0</v>
      </c>
      <c r="I202" s="13">
        <v>0</v>
      </c>
      <c r="J202" s="2">
        <v>4</v>
      </c>
      <c r="K202" s="7">
        <v>6</v>
      </c>
      <c r="L202" s="2">
        <f t="shared" si="22"/>
        <v>2</v>
      </c>
      <c r="M202" s="9">
        <v>9</v>
      </c>
      <c r="N202" s="9">
        <v>9</v>
      </c>
      <c r="O202">
        <f t="shared" si="23"/>
        <v>0</v>
      </c>
      <c r="P202" s="9">
        <v>2</v>
      </c>
      <c r="Q202" s="9">
        <v>2</v>
      </c>
      <c r="R202">
        <f t="shared" si="24"/>
        <v>0</v>
      </c>
      <c r="S202">
        <v>1</v>
      </c>
      <c r="T202">
        <v>1</v>
      </c>
      <c r="U202">
        <f t="shared" si="25"/>
        <v>0</v>
      </c>
      <c r="V202">
        <v>1</v>
      </c>
      <c r="W202">
        <v>1</v>
      </c>
      <c r="X202">
        <f t="shared" si="26"/>
        <v>0</v>
      </c>
      <c r="Y202" s="2">
        <v>0</v>
      </c>
      <c r="Z202" s="2">
        <v>0</v>
      </c>
      <c r="AA202" s="2">
        <v>0</v>
      </c>
      <c r="AB202" s="2">
        <f>IF(Z202+AA202&gt;0,1,0)</f>
        <v>0</v>
      </c>
      <c r="AC202" s="2">
        <v>0</v>
      </c>
      <c r="AD202" s="2">
        <v>0</v>
      </c>
      <c r="AE202" s="2">
        <v>0</v>
      </c>
      <c r="AF202" s="2">
        <v>0</v>
      </c>
      <c r="AG202" s="2">
        <v>0</v>
      </c>
      <c r="AH202" s="2">
        <v>0</v>
      </c>
      <c r="AI202" s="2">
        <v>0</v>
      </c>
      <c r="AJ202" s="2">
        <v>0</v>
      </c>
      <c r="AK202">
        <f t="shared" si="27"/>
        <v>1</v>
      </c>
      <c r="AL202" s="2" t="s">
        <v>139</v>
      </c>
    </row>
    <row r="203" spans="1:38" x14ac:dyDescent="0.35">
      <c r="A203" s="7">
        <v>224</v>
      </c>
      <c r="B203" t="s">
        <v>15</v>
      </c>
      <c r="C203">
        <v>1.61</v>
      </c>
      <c r="D203" s="2">
        <v>37</v>
      </c>
      <c r="E203" t="s">
        <v>51</v>
      </c>
      <c r="F203" t="s">
        <v>52</v>
      </c>
      <c r="G203" t="s">
        <v>165</v>
      </c>
      <c r="H203">
        <v>0</v>
      </c>
      <c r="I203" s="13">
        <v>0</v>
      </c>
      <c r="J203" s="2">
        <v>3</v>
      </c>
      <c r="K203" s="7">
        <v>3</v>
      </c>
      <c r="L203" s="2">
        <f t="shared" si="22"/>
        <v>0</v>
      </c>
      <c r="M203" s="9">
        <v>9</v>
      </c>
      <c r="N203" s="9">
        <v>9</v>
      </c>
      <c r="O203">
        <f t="shared" si="23"/>
        <v>0</v>
      </c>
      <c r="P203" s="9">
        <v>3</v>
      </c>
      <c r="Q203" s="9">
        <v>3</v>
      </c>
      <c r="R203">
        <f t="shared" si="24"/>
        <v>0</v>
      </c>
      <c r="S203">
        <v>2</v>
      </c>
      <c r="T203">
        <v>2</v>
      </c>
      <c r="U203">
        <f t="shared" si="25"/>
        <v>0</v>
      </c>
      <c r="V203">
        <v>0</v>
      </c>
      <c r="W203">
        <v>0</v>
      </c>
      <c r="X203">
        <f t="shared" si="26"/>
        <v>0</v>
      </c>
      <c r="Y203" s="2">
        <v>0</v>
      </c>
      <c r="Z203" s="2">
        <v>0</v>
      </c>
      <c r="AA203" s="2">
        <v>0</v>
      </c>
      <c r="AB203" s="2">
        <f>IF(Z203+AA203&gt;0,1,0)</f>
        <v>0</v>
      </c>
      <c r="AC203" s="2">
        <v>0</v>
      </c>
      <c r="AD203" s="2">
        <v>0</v>
      </c>
      <c r="AE203" s="2">
        <v>0</v>
      </c>
      <c r="AF203" s="2">
        <v>1</v>
      </c>
      <c r="AG203" s="2">
        <v>0</v>
      </c>
      <c r="AH203" s="2">
        <v>0</v>
      </c>
      <c r="AI203" s="2">
        <v>0</v>
      </c>
      <c r="AJ203" s="2">
        <v>0</v>
      </c>
      <c r="AK203">
        <f t="shared" si="27"/>
        <v>0</v>
      </c>
      <c r="AL203" s="2" t="s">
        <v>38</v>
      </c>
    </row>
    <row r="204" spans="1:38" x14ac:dyDescent="0.35">
      <c r="A204" s="7">
        <v>225</v>
      </c>
      <c r="B204" t="s">
        <v>15</v>
      </c>
      <c r="C204">
        <v>1.61</v>
      </c>
      <c r="D204" s="5">
        <v>97</v>
      </c>
      <c r="E204" t="s">
        <v>51</v>
      </c>
      <c r="F204" t="s">
        <v>52</v>
      </c>
      <c r="G204" t="s">
        <v>165</v>
      </c>
      <c r="H204">
        <v>0</v>
      </c>
      <c r="I204" s="13">
        <v>0</v>
      </c>
      <c r="J204" s="2">
        <v>4</v>
      </c>
      <c r="K204" s="7">
        <v>4</v>
      </c>
      <c r="L204" s="2">
        <f t="shared" si="22"/>
        <v>0</v>
      </c>
      <c r="M204" s="9">
        <v>7</v>
      </c>
      <c r="N204" s="9">
        <v>7</v>
      </c>
      <c r="O204">
        <f t="shared" si="23"/>
        <v>0</v>
      </c>
      <c r="P204" s="9">
        <v>2</v>
      </c>
      <c r="Q204" s="9">
        <v>2</v>
      </c>
      <c r="R204">
        <f t="shared" si="24"/>
        <v>0</v>
      </c>
      <c r="S204">
        <v>1</v>
      </c>
      <c r="T204">
        <v>2</v>
      </c>
      <c r="U204">
        <f t="shared" si="25"/>
        <v>1</v>
      </c>
      <c r="V204">
        <v>0</v>
      </c>
      <c r="W204">
        <v>0</v>
      </c>
      <c r="X204">
        <f t="shared" si="26"/>
        <v>0</v>
      </c>
      <c r="Y204" s="2">
        <v>0</v>
      </c>
      <c r="Z204" s="2">
        <v>0</v>
      </c>
      <c r="AA204" s="2">
        <v>0</v>
      </c>
      <c r="AB204" s="2">
        <f t="shared" ref="AB204:AB210" si="28">IF(Z204+AA204&gt;0,1,0)</f>
        <v>0</v>
      </c>
      <c r="AC204" s="2">
        <v>0</v>
      </c>
      <c r="AD204" s="2">
        <v>0</v>
      </c>
      <c r="AE204" s="2">
        <v>0</v>
      </c>
      <c r="AF204" s="2">
        <v>0</v>
      </c>
      <c r="AG204" s="2">
        <v>0</v>
      </c>
      <c r="AH204" s="2">
        <v>0</v>
      </c>
      <c r="AI204" s="2">
        <v>0</v>
      </c>
      <c r="AJ204" s="2">
        <v>0</v>
      </c>
      <c r="AK204">
        <f t="shared" si="27"/>
        <v>1</v>
      </c>
      <c r="AL204" s="2" t="s">
        <v>139</v>
      </c>
    </row>
    <row r="205" spans="1:38" x14ac:dyDescent="0.35">
      <c r="A205" s="7">
        <v>226</v>
      </c>
      <c r="B205" t="s">
        <v>162</v>
      </c>
      <c r="C205" s="7">
        <v>-0.37</v>
      </c>
      <c r="D205" s="5">
        <v>120</v>
      </c>
      <c r="E205" t="s">
        <v>51</v>
      </c>
      <c r="F205" t="s">
        <v>55</v>
      </c>
      <c r="G205" t="s">
        <v>165</v>
      </c>
      <c r="H205">
        <v>1</v>
      </c>
      <c r="I205" s="13">
        <v>0</v>
      </c>
      <c r="J205" s="2">
        <v>4</v>
      </c>
      <c r="K205" s="7">
        <v>4</v>
      </c>
      <c r="L205" s="2">
        <f t="shared" si="22"/>
        <v>0</v>
      </c>
      <c r="M205" s="9">
        <v>3</v>
      </c>
      <c r="N205" s="9">
        <v>3</v>
      </c>
      <c r="O205">
        <f t="shared" si="23"/>
        <v>0</v>
      </c>
      <c r="P205" s="9">
        <v>1</v>
      </c>
      <c r="Q205" s="9">
        <v>1</v>
      </c>
      <c r="R205">
        <f t="shared" si="24"/>
        <v>0</v>
      </c>
      <c r="S205">
        <v>3</v>
      </c>
      <c r="T205">
        <v>3</v>
      </c>
      <c r="U205">
        <f t="shared" si="25"/>
        <v>0</v>
      </c>
      <c r="V205">
        <v>1</v>
      </c>
      <c r="W205">
        <v>1</v>
      </c>
      <c r="X205">
        <f t="shared" si="26"/>
        <v>0</v>
      </c>
      <c r="Y205" s="2">
        <v>0</v>
      </c>
      <c r="Z205" s="2">
        <v>0</v>
      </c>
      <c r="AA205" s="2">
        <v>0</v>
      </c>
      <c r="AB205" s="2">
        <f t="shared" si="28"/>
        <v>0</v>
      </c>
      <c r="AC205" s="2">
        <v>0</v>
      </c>
      <c r="AD205" s="2">
        <v>0</v>
      </c>
      <c r="AE205" s="2">
        <v>0</v>
      </c>
      <c r="AF205" s="2">
        <v>0</v>
      </c>
      <c r="AG205" s="2">
        <v>0</v>
      </c>
      <c r="AH205" s="2">
        <v>0</v>
      </c>
      <c r="AI205" s="2">
        <v>0</v>
      </c>
      <c r="AJ205" s="2">
        <v>0</v>
      </c>
      <c r="AK205">
        <f t="shared" si="27"/>
        <v>1</v>
      </c>
      <c r="AL205" s="2" t="s">
        <v>139</v>
      </c>
    </row>
    <row r="206" spans="1:38" x14ac:dyDescent="0.35">
      <c r="A206" s="7">
        <v>227</v>
      </c>
      <c r="B206" t="s">
        <v>162</v>
      </c>
      <c r="C206" s="7">
        <v>-0.37</v>
      </c>
      <c r="D206" s="5">
        <v>78</v>
      </c>
      <c r="E206" t="s">
        <v>140</v>
      </c>
      <c r="F206" t="s">
        <v>58</v>
      </c>
      <c r="G206" t="s">
        <v>165</v>
      </c>
      <c r="H206">
        <v>1</v>
      </c>
      <c r="I206" s="13">
        <v>0.75</v>
      </c>
      <c r="J206" s="2">
        <v>4</v>
      </c>
      <c r="K206" s="7">
        <v>3</v>
      </c>
      <c r="L206" s="2">
        <f t="shared" si="22"/>
        <v>-1</v>
      </c>
      <c r="M206" s="9">
        <v>10</v>
      </c>
      <c r="N206" s="9">
        <v>4</v>
      </c>
      <c r="O206">
        <f t="shared" si="23"/>
        <v>-6</v>
      </c>
      <c r="P206" s="9">
        <v>3</v>
      </c>
      <c r="Q206" s="9">
        <v>3</v>
      </c>
      <c r="R206">
        <f t="shared" si="24"/>
        <v>0</v>
      </c>
      <c r="S206">
        <v>1</v>
      </c>
      <c r="T206">
        <v>2</v>
      </c>
      <c r="U206">
        <f t="shared" si="25"/>
        <v>1</v>
      </c>
      <c r="V206">
        <v>2</v>
      </c>
      <c r="W206">
        <v>2</v>
      </c>
      <c r="X206">
        <f t="shared" si="26"/>
        <v>0</v>
      </c>
      <c r="Y206" s="2">
        <v>0</v>
      </c>
      <c r="Z206" s="2">
        <v>1</v>
      </c>
      <c r="AA206" s="2">
        <v>1</v>
      </c>
      <c r="AB206" s="2">
        <f t="shared" si="28"/>
        <v>1</v>
      </c>
      <c r="AC206" s="2">
        <v>1</v>
      </c>
      <c r="AD206" s="2">
        <v>0</v>
      </c>
      <c r="AE206" s="2">
        <v>0</v>
      </c>
      <c r="AF206" s="2">
        <v>0</v>
      </c>
      <c r="AG206" s="2">
        <v>0</v>
      </c>
      <c r="AH206" s="2">
        <v>0</v>
      </c>
      <c r="AI206" s="2">
        <v>0</v>
      </c>
      <c r="AJ206" s="2">
        <v>0</v>
      </c>
      <c r="AK206">
        <f t="shared" si="27"/>
        <v>0</v>
      </c>
      <c r="AL206" s="2" t="s">
        <v>135</v>
      </c>
    </row>
    <row r="207" spans="1:38" x14ac:dyDescent="0.35">
      <c r="A207" s="7">
        <v>228</v>
      </c>
      <c r="B207" t="s">
        <v>162</v>
      </c>
      <c r="C207" s="7">
        <v>-0.37</v>
      </c>
      <c r="D207" s="2">
        <v>98</v>
      </c>
      <c r="E207" t="s">
        <v>140</v>
      </c>
      <c r="F207" t="s">
        <v>55</v>
      </c>
      <c r="G207" t="s">
        <v>165</v>
      </c>
      <c r="H207">
        <v>1</v>
      </c>
      <c r="I207" s="13">
        <v>0.75</v>
      </c>
      <c r="J207" s="2">
        <v>6</v>
      </c>
      <c r="K207" s="7">
        <v>5</v>
      </c>
      <c r="L207" s="2">
        <f t="shared" si="22"/>
        <v>-1</v>
      </c>
      <c r="M207" s="9">
        <v>7</v>
      </c>
      <c r="N207" s="9">
        <v>4</v>
      </c>
      <c r="O207">
        <f t="shared" si="23"/>
        <v>-3</v>
      </c>
      <c r="P207" s="9">
        <v>1</v>
      </c>
      <c r="Q207" s="9">
        <v>1</v>
      </c>
      <c r="R207">
        <f t="shared" si="24"/>
        <v>0</v>
      </c>
      <c r="S207">
        <v>2</v>
      </c>
      <c r="T207">
        <v>3</v>
      </c>
      <c r="U207">
        <f t="shared" si="25"/>
        <v>1</v>
      </c>
      <c r="V207">
        <v>1</v>
      </c>
      <c r="W207">
        <v>1</v>
      </c>
      <c r="X207">
        <f t="shared" si="26"/>
        <v>0</v>
      </c>
      <c r="Y207" s="2">
        <v>0</v>
      </c>
      <c r="Z207" s="2">
        <v>0</v>
      </c>
      <c r="AA207" s="2">
        <v>0</v>
      </c>
      <c r="AB207" s="2">
        <f t="shared" si="28"/>
        <v>0</v>
      </c>
      <c r="AC207" s="2">
        <v>0</v>
      </c>
      <c r="AD207" s="2">
        <v>1</v>
      </c>
      <c r="AE207" s="2">
        <v>0</v>
      </c>
      <c r="AF207" s="2">
        <v>1</v>
      </c>
      <c r="AG207" s="2">
        <v>0</v>
      </c>
      <c r="AH207" s="2">
        <v>0</v>
      </c>
      <c r="AI207" s="2">
        <v>1</v>
      </c>
      <c r="AJ207" s="2">
        <v>0</v>
      </c>
      <c r="AK207">
        <f t="shared" si="27"/>
        <v>0</v>
      </c>
      <c r="AL207" s="2" t="s">
        <v>5</v>
      </c>
    </row>
    <row r="208" spans="1:38" x14ac:dyDescent="0.35">
      <c r="A208" s="7">
        <v>229</v>
      </c>
      <c r="B208" t="s">
        <v>162</v>
      </c>
      <c r="C208" s="7">
        <v>-0.37</v>
      </c>
      <c r="D208" s="2">
        <v>130</v>
      </c>
      <c r="E208" t="s">
        <v>140</v>
      </c>
      <c r="F208" t="s">
        <v>58</v>
      </c>
      <c r="G208" t="s">
        <v>166</v>
      </c>
      <c r="H208">
        <v>1</v>
      </c>
      <c r="I208" s="13">
        <v>0.75</v>
      </c>
      <c r="J208" s="2">
        <v>2</v>
      </c>
      <c r="K208" s="7">
        <v>2</v>
      </c>
      <c r="L208" s="2">
        <f t="shared" si="22"/>
        <v>0</v>
      </c>
      <c r="M208" s="9">
        <v>7</v>
      </c>
      <c r="N208" s="9">
        <v>5</v>
      </c>
      <c r="O208">
        <f t="shared" si="23"/>
        <v>-2</v>
      </c>
      <c r="P208" s="9">
        <v>1</v>
      </c>
      <c r="Q208" s="9">
        <v>1</v>
      </c>
      <c r="R208">
        <f t="shared" si="24"/>
        <v>0</v>
      </c>
      <c r="S208">
        <v>4</v>
      </c>
      <c r="T208">
        <v>3</v>
      </c>
      <c r="U208">
        <f t="shared" si="25"/>
        <v>-1</v>
      </c>
      <c r="V208">
        <v>2</v>
      </c>
      <c r="W208">
        <v>2</v>
      </c>
      <c r="X208">
        <f t="shared" si="26"/>
        <v>0</v>
      </c>
      <c r="Y208" s="2">
        <v>0</v>
      </c>
      <c r="Z208" s="2">
        <v>1</v>
      </c>
      <c r="AA208" s="2">
        <v>0</v>
      </c>
      <c r="AB208" s="2">
        <f t="shared" si="28"/>
        <v>1</v>
      </c>
      <c r="AC208" s="2">
        <v>0</v>
      </c>
      <c r="AD208" s="2">
        <v>1</v>
      </c>
      <c r="AE208" s="2">
        <v>0</v>
      </c>
      <c r="AF208" s="2">
        <v>1</v>
      </c>
      <c r="AG208" s="2">
        <v>0</v>
      </c>
      <c r="AH208" s="2">
        <v>0</v>
      </c>
      <c r="AI208" s="2">
        <v>1</v>
      </c>
      <c r="AJ208" s="2">
        <v>0</v>
      </c>
      <c r="AK208">
        <f t="shared" si="27"/>
        <v>0</v>
      </c>
      <c r="AL208" s="2" t="s">
        <v>5</v>
      </c>
    </row>
    <row r="209" spans="1:38" x14ac:dyDescent="0.35">
      <c r="A209" s="7">
        <v>230</v>
      </c>
      <c r="B209" t="s">
        <v>162</v>
      </c>
      <c r="C209" s="7">
        <v>-0.37</v>
      </c>
      <c r="D209" s="2">
        <v>21</v>
      </c>
      <c r="E209" t="s">
        <v>51</v>
      </c>
      <c r="F209" t="s">
        <v>55</v>
      </c>
      <c r="G209" t="s">
        <v>165</v>
      </c>
      <c r="H209">
        <v>1</v>
      </c>
      <c r="I209" s="13">
        <v>0.5</v>
      </c>
      <c r="J209" s="2">
        <v>3</v>
      </c>
      <c r="K209" s="7">
        <v>3</v>
      </c>
      <c r="L209" s="2">
        <f t="shared" si="22"/>
        <v>0</v>
      </c>
      <c r="M209" s="9">
        <v>3</v>
      </c>
      <c r="N209" s="9">
        <v>3</v>
      </c>
      <c r="O209">
        <f t="shared" si="23"/>
        <v>0</v>
      </c>
      <c r="P209" s="9">
        <v>1</v>
      </c>
      <c r="Q209" s="9">
        <v>1</v>
      </c>
      <c r="R209">
        <f t="shared" si="24"/>
        <v>0</v>
      </c>
      <c r="S209">
        <v>5</v>
      </c>
      <c r="T209">
        <v>5</v>
      </c>
      <c r="U209">
        <f t="shared" si="25"/>
        <v>0</v>
      </c>
      <c r="V209">
        <v>2</v>
      </c>
      <c r="W209">
        <v>2</v>
      </c>
      <c r="X209">
        <f t="shared" si="26"/>
        <v>0</v>
      </c>
      <c r="Y209" s="2">
        <v>0</v>
      </c>
      <c r="Z209" s="2">
        <v>0</v>
      </c>
      <c r="AA209" s="2">
        <v>0</v>
      </c>
      <c r="AB209" s="2">
        <f t="shared" si="28"/>
        <v>0</v>
      </c>
      <c r="AC209" s="2">
        <v>0</v>
      </c>
      <c r="AD209" s="2">
        <v>0</v>
      </c>
      <c r="AE209" s="2">
        <v>0</v>
      </c>
      <c r="AF209" s="2">
        <v>0</v>
      </c>
      <c r="AG209" s="2">
        <v>0</v>
      </c>
      <c r="AH209" s="2">
        <v>0</v>
      </c>
      <c r="AI209" s="2">
        <v>0</v>
      </c>
      <c r="AJ209" s="2">
        <v>0</v>
      </c>
      <c r="AK209">
        <f t="shared" si="27"/>
        <v>1</v>
      </c>
      <c r="AL209" s="2" t="s">
        <v>139</v>
      </c>
    </row>
    <row r="210" spans="1:38" x14ac:dyDescent="0.35">
      <c r="A210" s="7">
        <v>231</v>
      </c>
      <c r="B210" t="s">
        <v>162</v>
      </c>
      <c r="C210" s="7">
        <v>-0.37</v>
      </c>
      <c r="D210" s="2">
        <v>72</v>
      </c>
      <c r="E210" t="s">
        <v>51</v>
      </c>
      <c r="F210" t="s">
        <v>53</v>
      </c>
      <c r="G210" t="s">
        <v>165</v>
      </c>
      <c r="H210">
        <v>1</v>
      </c>
      <c r="I210" s="13">
        <v>0</v>
      </c>
      <c r="J210" s="2">
        <v>2</v>
      </c>
      <c r="K210" s="7">
        <v>2</v>
      </c>
      <c r="L210" s="2">
        <f t="shared" si="22"/>
        <v>0</v>
      </c>
      <c r="M210" s="9">
        <v>9</v>
      </c>
      <c r="N210" s="9">
        <v>8</v>
      </c>
      <c r="O210">
        <f t="shared" si="23"/>
        <v>-1</v>
      </c>
      <c r="P210" s="9">
        <v>1</v>
      </c>
      <c r="Q210" s="9">
        <v>1</v>
      </c>
      <c r="R210">
        <f t="shared" si="24"/>
        <v>0</v>
      </c>
      <c r="S210">
        <v>2</v>
      </c>
      <c r="T210">
        <v>2</v>
      </c>
      <c r="U210">
        <f t="shared" si="25"/>
        <v>0</v>
      </c>
      <c r="V210">
        <v>1</v>
      </c>
      <c r="W210">
        <v>1</v>
      </c>
      <c r="X210">
        <f t="shared" si="26"/>
        <v>0</v>
      </c>
      <c r="Y210" s="2">
        <v>0</v>
      </c>
      <c r="Z210" s="2">
        <v>0</v>
      </c>
      <c r="AA210" s="2">
        <v>0</v>
      </c>
      <c r="AB210" s="2">
        <f t="shared" si="28"/>
        <v>0</v>
      </c>
      <c r="AC210" s="2">
        <v>0</v>
      </c>
      <c r="AD210" s="2">
        <v>0</v>
      </c>
      <c r="AE210" s="2">
        <v>0</v>
      </c>
      <c r="AF210" s="2">
        <v>1</v>
      </c>
      <c r="AG210" s="2">
        <v>0</v>
      </c>
      <c r="AH210" s="2">
        <v>0</v>
      </c>
      <c r="AI210" s="2">
        <v>1</v>
      </c>
      <c r="AJ210" s="2">
        <v>0</v>
      </c>
      <c r="AK210">
        <f t="shared" si="27"/>
        <v>0</v>
      </c>
      <c r="AL210" s="2" t="s">
        <v>8</v>
      </c>
    </row>
    <row r="212" spans="1:38" x14ac:dyDescent="0.35">
      <c r="G212" s="13"/>
      <c r="Y212" s="13"/>
      <c r="Z212" s="13"/>
      <c r="AA212" s="13"/>
      <c r="AB212" s="13"/>
      <c r="AC212" s="13"/>
      <c r="AD212" s="13"/>
      <c r="AE212" s="13"/>
      <c r="AF212" s="13"/>
      <c r="AG212" s="13"/>
      <c r="AH212" s="13"/>
      <c r="AI212" s="13"/>
      <c r="AJ212" s="13"/>
    </row>
    <row r="213" spans="1:38" x14ac:dyDescent="0.35">
      <c r="G213" s="13"/>
      <c r="P213" s="2"/>
      <c r="Q213" s="13"/>
      <c r="R213" s="13"/>
    </row>
    <row r="214" spans="1:38" x14ac:dyDescent="0.35">
      <c r="G214" s="13"/>
      <c r="P214" s="2"/>
      <c r="Q214" s="13"/>
      <c r="R214" s="13"/>
    </row>
    <row r="215" spans="1:38" x14ac:dyDescent="0.35">
      <c r="N215" s="1"/>
      <c r="O215" s="1"/>
      <c r="P215" s="2"/>
      <c r="Q215" s="13"/>
      <c r="R215" s="13"/>
    </row>
    <row r="216" spans="1:38" x14ac:dyDescent="0.35">
      <c r="N216" s="1"/>
      <c r="O216" s="1"/>
      <c r="P216" s="2"/>
      <c r="Q216" s="13"/>
      <c r="R216" s="13"/>
    </row>
    <row r="217" spans="1:38" x14ac:dyDescent="0.35">
      <c r="N217" s="1"/>
      <c r="O217" s="1"/>
      <c r="P217" s="2"/>
      <c r="Q217" s="13"/>
      <c r="R217" s="13"/>
    </row>
    <row r="218" spans="1:38" x14ac:dyDescent="0.35">
      <c r="N218" s="1"/>
      <c r="O218" s="1"/>
      <c r="P218" s="2"/>
      <c r="Q218" s="13"/>
      <c r="R218" s="13"/>
    </row>
    <row r="219" spans="1:38" x14ac:dyDescent="0.35">
      <c r="P219" s="2"/>
      <c r="Q219" s="13"/>
      <c r="R219" s="13"/>
    </row>
    <row r="220" spans="1:38" x14ac:dyDescent="0.35">
      <c r="P220" s="1"/>
    </row>
    <row r="221" spans="1:38" x14ac:dyDescent="0.35">
      <c r="P221" s="1"/>
    </row>
  </sheetData>
  <sortState ref="V216:AC225">
    <sortCondition descending="1" ref="W216:W225"/>
  </sortState>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workbookViewId="0">
      <pane ySplit="1" topLeftCell="A35" activePane="bottomLeft" state="frozen"/>
      <selection pane="bottomLeft" activeCell="H9" sqref="H9"/>
    </sheetView>
  </sheetViews>
  <sheetFormatPr defaultRowHeight="14.5" x14ac:dyDescent="0.35"/>
  <cols>
    <col min="2" max="2" width="11.7265625" bestFit="1" customWidth="1"/>
    <col min="11" max="11" width="10.54296875" style="17" bestFit="1" customWidth="1"/>
    <col min="12" max="17" width="8.7265625" style="17"/>
    <col min="18" max="18" width="8.7265625" style="18"/>
  </cols>
  <sheetData>
    <row r="1" spans="1:18" x14ac:dyDescent="0.35">
      <c r="C1" s="3" t="s">
        <v>176</v>
      </c>
      <c r="D1" s="3" t="s">
        <v>177</v>
      </c>
      <c r="E1" s="3" t="s">
        <v>178</v>
      </c>
      <c r="F1" s="3" t="s">
        <v>179</v>
      </c>
      <c r="G1" s="3" t="s">
        <v>180</v>
      </c>
      <c r="H1" s="3" t="s">
        <v>181</v>
      </c>
      <c r="I1" s="3" t="s">
        <v>182</v>
      </c>
      <c r="J1" s="3" t="s">
        <v>183</v>
      </c>
      <c r="K1" s="19" t="s">
        <v>176</v>
      </c>
      <c r="L1" s="19" t="s">
        <v>177</v>
      </c>
      <c r="M1" s="19" t="s">
        <v>178</v>
      </c>
      <c r="N1" s="19" t="s">
        <v>179</v>
      </c>
      <c r="O1" s="19" t="s">
        <v>180</v>
      </c>
      <c r="P1" s="19" t="s">
        <v>181</v>
      </c>
      <c r="Q1" s="19" t="s">
        <v>182</v>
      </c>
      <c r="R1" s="19" t="s">
        <v>183</v>
      </c>
    </row>
    <row r="2" spans="1:18" x14ac:dyDescent="0.35">
      <c r="A2" s="3" t="s">
        <v>175</v>
      </c>
      <c r="B2" t="s">
        <v>185</v>
      </c>
      <c r="C2">
        <f>COUNTIF(datasheet!B2:B210,"ID")</f>
        <v>68</v>
      </c>
      <c r="D2">
        <f>COUNTIF(datasheet!B2:B210,"au")</f>
        <v>55</v>
      </c>
      <c r="E2">
        <f>COUNTIF(datasheet!B2:B210,"jp")</f>
        <v>23</v>
      </c>
      <c r="F2">
        <f>COUNTIF(datasheet!B2:B210,"mi")</f>
        <v>17</v>
      </c>
      <c r="G2">
        <f>COUNTIF(datasheet!B2:B210,"fj")</f>
        <v>16</v>
      </c>
      <c r="H2">
        <f>COUNTIF(datasheet!B2:B210,"hi")</f>
        <v>15</v>
      </c>
      <c r="I2">
        <f>COUNTIF(datasheet!B2:B210,"fp")</f>
        <v>15</v>
      </c>
      <c r="J2">
        <f>SUM(C2:I2)</f>
        <v>209</v>
      </c>
      <c r="K2" s="17">
        <f>C2/$J2</f>
        <v>0.32535885167464113</v>
      </c>
      <c r="L2" s="17">
        <f t="shared" ref="L2:Q2" si="0">D2/$J2</f>
        <v>0.26315789473684209</v>
      </c>
      <c r="M2" s="17">
        <f t="shared" si="0"/>
        <v>0.11004784688995216</v>
      </c>
      <c r="N2" s="17">
        <f t="shared" si="0"/>
        <v>8.1339712918660281E-2</v>
      </c>
      <c r="O2" s="17">
        <f t="shared" si="0"/>
        <v>7.6555023923444973E-2</v>
      </c>
      <c r="P2" s="17">
        <f t="shared" si="0"/>
        <v>7.1770334928229665E-2</v>
      </c>
      <c r="Q2" s="17">
        <f t="shared" si="0"/>
        <v>7.1770334928229665E-2</v>
      </c>
      <c r="R2" s="17">
        <f>SUM(K2:Q2)</f>
        <v>1</v>
      </c>
    </row>
    <row r="3" spans="1:18" x14ac:dyDescent="0.35">
      <c r="A3" t="s">
        <v>184</v>
      </c>
      <c r="B3" t="s">
        <v>186</v>
      </c>
      <c r="C3">
        <f>COUNTIFS(datasheet!B2:B210,"id",datasheet!E2:E210,"aus")</f>
        <v>1</v>
      </c>
      <c r="D3">
        <f>COUNTIFS(datasheet!B2:B210,"au",datasheet!E2:E210,"aus")</f>
        <v>50</v>
      </c>
      <c r="E3">
        <f>COUNTIFS(datasheet!B2:B210,"jp",datasheet!E2:E210,"aus")</f>
        <v>0</v>
      </c>
      <c r="F3">
        <f>COUNTIFS(datasheet!B2:B210,"mi",datasheet!E2:E210,"aus")</f>
        <v>0</v>
      </c>
      <c r="G3">
        <f>COUNTIFS(datasheet!B2:B210,"fj",datasheet!E2:E210,"aus")</f>
        <v>10</v>
      </c>
      <c r="H3">
        <f>COUNTIFS(datasheet!B2:B210,"hi",datasheet!E2:E210,"aus")</f>
        <v>0</v>
      </c>
      <c r="I3">
        <f>COUNTIFS(datasheet!B2:B210,"fp",datasheet!E2:E210,"aus")</f>
        <v>0</v>
      </c>
      <c r="J3">
        <f>SUM(C3:I3)</f>
        <v>61</v>
      </c>
      <c r="K3" s="17">
        <f>C3/C$2</f>
        <v>1.4705882352941176E-2</v>
      </c>
      <c r="L3" s="17">
        <f t="shared" ref="L3:R10" si="1">D3/D$2</f>
        <v>0.90909090909090906</v>
      </c>
      <c r="M3" s="17">
        <f t="shared" si="1"/>
        <v>0</v>
      </c>
      <c r="N3" s="17">
        <f t="shared" si="1"/>
        <v>0</v>
      </c>
      <c r="O3" s="17">
        <f t="shared" si="1"/>
        <v>0.625</v>
      </c>
      <c r="P3" s="17">
        <f t="shared" si="1"/>
        <v>0</v>
      </c>
      <c r="Q3" s="17">
        <f t="shared" si="1"/>
        <v>0</v>
      </c>
      <c r="R3" s="17">
        <f t="shared" si="1"/>
        <v>0.291866028708134</v>
      </c>
    </row>
    <row r="4" spans="1:18" x14ac:dyDescent="0.35">
      <c r="B4" t="s">
        <v>187</v>
      </c>
      <c r="C4">
        <f>COUNTIFS(datasheet!B2:B210,"id",datasheet!E2:E210,"eur")</f>
        <v>36</v>
      </c>
      <c r="D4">
        <f>COUNTIFS(datasheet!B2:B210,"au",datasheet!E2:E210,"eur")</f>
        <v>3</v>
      </c>
      <c r="E4">
        <f>COUNTIFS(datasheet!B2:B210,"jp",datasheet!E2:E210,"eur")</f>
        <v>1</v>
      </c>
      <c r="F4">
        <f>COUNTIFS(datasheet!B2:B210,"mi",datasheet!E2:E210,"eur")</f>
        <v>0</v>
      </c>
      <c r="G4">
        <f>COUNTIFS(datasheet!B2:B210,"fj",datasheet!E2:E210,"eur")</f>
        <v>0</v>
      </c>
      <c r="H4">
        <f>COUNTIFS(datasheet!B2:B210,"hi",datasheet!E2:E210,"eur")</f>
        <v>0</v>
      </c>
      <c r="I4">
        <f>COUNTIFS(datasheet!B2:B210,"fp",datasheet!E2:E210,"eur")</f>
        <v>14</v>
      </c>
      <c r="J4">
        <f t="shared" ref="J4:J48" si="2">SUM(C4:I4)</f>
        <v>54</v>
      </c>
      <c r="K4" s="17">
        <f t="shared" ref="K4:K10" si="3">C4/C$2</f>
        <v>0.52941176470588236</v>
      </c>
      <c r="L4" s="17">
        <f t="shared" si="1"/>
        <v>5.4545454545454543E-2</v>
      </c>
      <c r="M4" s="17">
        <f t="shared" si="1"/>
        <v>4.3478260869565216E-2</v>
      </c>
      <c r="N4" s="17">
        <f t="shared" si="1"/>
        <v>0</v>
      </c>
      <c r="O4" s="17">
        <f t="shared" si="1"/>
        <v>0</v>
      </c>
      <c r="P4" s="17">
        <f t="shared" si="1"/>
        <v>0</v>
      </c>
      <c r="Q4" s="17">
        <f t="shared" si="1"/>
        <v>0.93333333333333335</v>
      </c>
      <c r="R4" s="17">
        <f t="shared" si="1"/>
        <v>0.25837320574162681</v>
      </c>
    </row>
    <row r="5" spans="1:18" x14ac:dyDescent="0.35">
      <c r="B5" t="s">
        <v>188</v>
      </c>
      <c r="C5">
        <f>COUNTIFS(datasheet!B2:B210,"id",datasheet!E2:E210,"idn")</f>
        <v>22</v>
      </c>
      <c r="D5">
        <f>COUNTIFS(datasheet!B2:B210,"au",datasheet!E2:E210,"idn")</f>
        <v>0</v>
      </c>
      <c r="E5">
        <f>COUNTIFS(datasheet!B2:B210,"jp",datasheet!E2:E210,"idn")</f>
        <v>0</v>
      </c>
      <c r="F5">
        <f>COUNTIFS(datasheet!B2:B210,"mi",datasheet!E2:E210,"idn")</f>
        <v>0</v>
      </c>
      <c r="G5">
        <f>COUNTIFS(datasheet!B2:B210,"fj",datasheet!E2:E210,"idn")</f>
        <v>0</v>
      </c>
      <c r="H5">
        <f>COUNTIFS(datasheet!B2:B210,"hi",datasheet!E2:E210,"idn")</f>
        <v>0</v>
      </c>
      <c r="I5">
        <f>COUNTIFS(datasheet!B2:B210,"fp",datasheet!E2:E210,"idn")</f>
        <v>0</v>
      </c>
      <c r="J5">
        <f t="shared" si="2"/>
        <v>22</v>
      </c>
      <c r="K5" s="17">
        <f t="shared" si="3"/>
        <v>0.3235294117647059</v>
      </c>
      <c r="L5" s="17">
        <f t="shared" si="1"/>
        <v>0</v>
      </c>
      <c r="M5" s="17">
        <f t="shared" si="1"/>
        <v>0</v>
      </c>
      <c r="N5" s="17">
        <f t="shared" si="1"/>
        <v>0</v>
      </c>
      <c r="O5" s="17">
        <f t="shared" si="1"/>
        <v>0</v>
      </c>
      <c r="P5" s="17">
        <f t="shared" si="1"/>
        <v>0</v>
      </c>
      <c r="Q5" s="17">
        <f t="shared" si="1"/>
        <v>0</v>
      </c>
      <c r="R5" s="17">
        <f t="shared" si="1"/>
        <v>0.10526315789473684</v>
      </c>
    </row>
    <row r="6" spans="1:18" x14ac:dyDescent="0.35">
      <c r="B6" t="s">
        <v>189</v>
      </c>
      <c r="C6">
        <f>COUNTIFS(datasheet!B2:B210,"id",datasheet!E2:E210,"jpn")</f>
        <v>2</v>
      </c>
      <c r="D6">
        <f>COUNTIFS(datasheet!B2:B210,"au",datasheet!E2:E210,"jpn")</f>
        <v>0</v>
      </c>
      <c r="E6">
        <f>COUNTIFS(datasheet!B2:B210,"jp",datasheet!E2:E210,"jpn")</f>
        <v>18</v>
      </c>
      <c r="F6">
        <f>COUNTIFS(datasheet!B2:B210,"mi",datasheet!E2:E210,"jpn")</f>
        <v>7</v>
      </c>
      <c r="G6">
        <f>COUNTIFS(datasheet!B2:B210,"fj",datasheet!E2:E210,"jpn")</f>
        <v>0</v>
      </c>
      <c r="H6">
        <f>COUNTIFS(datasheet!B2:B210,"hi",datasheet!E2:E210,"jpn")</f>
        <v>0</v>
      </c>
      <c r="I6">
        <f>COUNTIFS(datasheet!B2:B210,"fp",datasheet!E2:E210,"jpn")</f>
        <v>1</v>
      </c>
      <c r="J6">
        <f t="shared" si="2"/>
        <v>28</v>
      </c>
      <c r="K6" s="17">
        <f t="shared" si="3"/>
        <v>2.9411764705882353E-2</v>
      </c>
      <c r="L6" s="17">
        <f t="shared" si="1"/>
        <v>0</v>
      </c>
      <c r="M6" s="17">
        <f t="shared" si="1"/>
        <v>0.78260869565217395</v>
      </c>
      <c r="N6" s="17">
        <f t="shared" si="1"/>
        <v>0.41176470588235292</v>
      </c>
      <c r="O6" s="17">
        <f t="shared" si="1"/>
        <v>0</v>
      </c>
      <c r="P6" s="17">
        <f t="shared" si="1"/>
        <v>0</v>
      </c>
      <c r="Q6" s="17">
        <f t="shared" si="1"/>
        <v>6.6666666666666666E-2</v>
      </c>
      <c r="R6" s="17">
        <f t="shared" si="1"/>
        <v>0.13397129186602871</v>
      </c>
    </row>
    <row r="7" spans="1:18" x14ac:dyDescent="0.35">
      <c r="B7" t="s">
        <v>190</v>
      </c>
      <c r="C7">
        <f>COUNTIFS(datasheet!B2:B210,"id",datasheet!E2:E210,"nam")</f>
        <v>5</v>
      </c>
      <c r="D7">
        <f>COUNTIFS(datasheet!B2:B210,"au",datasheet!E2:E210,"nam")</f>
        <v>1</v>
      </c>
      <c r="E7">
        <f>COUNTIFS(datasheet!B2:B210,"jp",datasheet!E2:E210,"nam")</f>
        <v>2</v>
      </c>
      <c r="F7">
        <f>COUNTIFS(datasheet!B2:B210,"mi",datasheet!E2:E210,"nam")</f>
        <v>8</v>
      </c>
      <c r="G7">
        <f>COUNTIFS(datasheet!B2:B210,"fj",datasheet!E2:E210,"nam")</f>
        <v>1</v>
      </c>
      <c r="H7">
        <f>COUNTIFS(datasheet!B2:B210,"hi",datasheet!E2:E210,"nam")</f>
        <v>15</v>
      </c>
      <c r="I7">
        <f>COUNTIFS(datasheet!B2:B210,"fp",datasheet!E2:E210,"nam")</f>
        <v>0</v>
      </c>
      <c r="J7">
        <f t="shared" si="2"/>
        <v>32</v>
      </c>
      <c r="K7" s="17">
        <f t="shared" si="3"/>
        <v>7.3529411764705885E-2</v>
      </c>
      <c r="L7" s="17">
        <f t="shared" si="1"/>
        <v>1.8181818181818181E-2</v>
      </c>
      <c r="M7" s="17">
        <f t="shared" si="1"/>
        <v>8.6956521739130432E-2</v>
      </c>
      <c r="N7" s="17">
        <f t="shared" si="1"/>
        <v>0.47058823529411764</v>
      </c>
      <c r="O7" s="17">
        <f t="shared" si="1"/>
        <v>6.25E-2</v>
      </c>
      <c r="P7" s="17">
        <f t="shared" si="1"/>
        <v>1</v>
      </c>
      <c r="Q7" s="17">
        <f t="shared" si="1"/>
        <v>0</v>
      </c>
      <c r="R7" s="17">
        <f t="shared" si="1"/>
        <v>0.15311004784688995</v>
      </c>
    </row>
    <row r="8" spans="1:18" x14ac:dyDescent="0.35">
      <c r="B8" t="s">
        <v>191</v>
      </c>
      <c r="C8">
        <f>COUNTIFS(datasheet!B2:B210,"id",datasheet!E2:E210,"other")</f>
        <v>2</v>
      </c>
      <c r="D8">
        <f>COUNTIFS(datasheet!B2:B210,"au",datasheet!E2:E210,"other")</f>
        <v>1</v>
      </c>
      <c r="E8">
        <f>COUNTIFS(datasheet!B2:B210,"jp",datasheet!E2:E210,"other")</f>
        <v>2</v>
      </c>
      <c r="F8">
        <f>COUNTIFS(datasheet!B2:B210,"mi",datasheet!E2:E210,"other")</f>
        <v>2</v>
      </c>
      <c r="G8">
        <f>COUNTIFS(datasheet!B2:B210,"fj",datasheet!E2:E210,"other")</f>
        <v>5</v>
      </c>
      <c r="H8">
        <f>COUNTIFS(datasheet!B2:B210,"hi",datasheet!E2:E210,"other")</f>
        <v>0</v>
      </c>
      <c r="I8">
        <f>COUNTIFS(datasheet!B2:B210,"fp",datasheet!E2:E210,"other")</f>
        <v>0</v>
      </c>
      <c r="J8">
        <f t="shared" si="2"/>
        <v>12</v>
      </c>
      <c r="K8" s="17">
        <f t="shared" si="3"/>
        <v>2.9411764705882353E-2</v>
      </c>
      <c r="L8" s="17">
        <f t="shared" si="1"/>
        <v>1.8181818181818181E-2</v>
      </c>
      <c r="M8" s="17">
        <f t="shared" si="1"/>
        <v>8.6956521739130432E-2</v>
      </c>
      <c r="N8" s="17">
        <f t="shared" si="1"/>
        <v>0.11764705882352941</v>
      </c>
      <c r="O8" s="17">
        <f t="shared" si="1"/>
        <v>0.3125</v>
      </c>
      <c r="P8" s="17">
        <f t="shared" si="1"/>
        <v>0</v>
      </c>
      <c r="Q8" s="17">
        <f t="shared" si="1"/>
        <v>0</v>
      </c>
      <c r="R8" s="17">
        <f t="shared" si="1"/>
        <v>5.7416267942583733E-2</v>
      </c>
    </row>
    <row r="9" spans="1:18" x14ac:dyDescent="0.35">
      <c r="A9" t="s">
        <v>192</v>
      </c>
      <c r="B9" t="s">
        <v>166</v>
      </c>
      <c r="C9">
        <f>COUNTIFS(datasheet!B2:B210,"id",datasheet!G2:G210,"female")</f>
        <v>16</v>
      </c>
      <c r="D9">
        <f>COUNTIFS(datasheet!B2:B210,"au",datasheet!G2:G210,"female")</f>
        <v>23</v>
      </c>
      <c r="E9">
        <f>COUNTIFS(datasheet!B2:B210,"jp",datasheet!G2:G210,"female")</f>
        <v>3</v>
      </c>
      <c r="F9">
        <f>COUNTIFS(datasheet!B2:B210,"mi",datasheet!G2:G210,"female")</f>
        <v>3</v>
      </c>
      <c r="G9">
        <f>COUNTIFS(datasheet!B2:B210,"fj",datasheet!G2:G210,"female")</f>
        <v>3</v>
      </c>
      <c r="H9">
        <f>COUNTIFS(datasheet!B2:B210,"hi",datasheet!G2:G210,"female")</f>
        <v>5</v>
      </c>
      <c r="I9">
        <f>COUNTIFS(datasheet!B2:B210,"fp",datasheet!G2:G210,"female")</f>
        <v>4</v>
      </c>
      <c r="J9">
        <f t="shared" si="2"/>
        <v>57</v>
      </c>
      <c r="K9" s="17">
        <f t="shared" si="3"/>
        <v>0.23529411764705882</v>
      </c>
      <c r="L9" s="17">
        <f t="shared" si="1"/>
        <v>0.41818181818181815</v>
      </c>
      <c r="M9" s="17">
        <f t="shared" si="1"/>
        <v>0.13043478260869565</v>
      </c>
      <c r="N9" s="17">
        <f t="shared" si="1"/>
        <v>0.17647058823529413</v>
      </c>
      <c r="O9" s="17">
        <f t="shared" si="1"/>
        <v>0.1875</v>
      </c>
      <c r="P9" s="17">
        <f t="shared" si="1"/>
        <v>0.33333333333333331</v>
      </c>
      <c r="Q9" s="17">
        <f t="shared" si="1"/>
        <v>0.26666666666666666</v>
      </c>
      <c r="R9" s="17">
        <f t="shared" si="1"/>
        <v>0.27272727272727271</v>
      </c>
    </row>
    <row r="10" spans="1:18" x14ac:dyDescent="0.35">
      <c r="B10" t="s">
        <v>165</v>
      </c>
      <c r="C10">
        <f>COUNTIFS(datasheet!B2:B210,"id",datasheet!G2:G210,"male")</f>
        <v>52</v>
      </c>
      <c r="D10">
        <f>COUNTIFS(datasheet!B2:B210,"au",datasheet!G2:G210,"male")</f>
        <v>32</v>
      </c>
      <c r="E10">
        <f>COUNTIFS(datasheet!B2:B210,"jp",datasheet!G2:G210,"male")</f>
        <v>20</v>
      </c>
      <c r="F10">
        <f>COUNTIFS(datasheet!B2:B210,"mi",datasheet!G2:G210,"male")</f>
        <v>14</v>
      </c>
      <c r="G10">
        <f>COUNTIFS(datasheet!B2:B210,"fj",datasheet!G2:G210,"male")</f>
        <v>13</v>
      </c>
      <c r="H10">
        <f>COUNTIFS(datasheet!B2:B210,"hi",datasheet!G2:G210,"male")</f>
        <v>10</v>
      </c>
      <c r="I10">
        <f>COUNTIFS(datasheet!B2:B210,"fp",datasheet!G2:G210,"male")</f>
        <v>11</v>
      </c>
      <c r="J10">
        <f t="shared" si="2"/>
        <v>152</v>
      </c>
      <c r="K10" s="17">
        <f t="shared" si="3"/>
        <v>0.76470588235294112</v>
      </c>
      <c r="L10" s="17">
        <f t="shared" si="1"/>
        <v>0.58181818181818179</v>
      </c>
      <c r="M10" s="17">
        <f t="shared" si="1"/>
        <v>0.86956521739130432</v>
      </c>
      <c r="N10" s="17">
        <f t="shared" si="1"/>
        <v>0.82352941176470584</v>
      </c>
      <c r="O10" s="17">
        <f t="shared" si="1"/>
        <v>0.8125</v>
      </c>
      <c r="P10" s="17">
        <f t="shared" si="1"/>
        <v>0.66666666666666663</v>
      </c>
      <c r="Q10" s="17">
        <f t="shared" si="1"/>
        <v>0.73333333333333328</v>
      </c>
      <c r="R10" s="17">
        <f t="shared" si="1"/>
        <v>0.72727272727272729</v>
      </c>
    </row>
    <row r="11" spans="1:18" x14ac:dyDescent="0.35">
      <c r="A11" t="s">
        <v>193</v>
      </c>
      <c r="B11" t="s">
        <v>59</v>
      </c>
      <c r="C11">
        <f>COUNTIFS(datasheet!B2:B210,"id",datasheet!F2:F210,"18 - 24")</f>
        <v>0</v>
      </c>
      <c r="D11">
        <f>COUNTIFS(datasheet!B2:B210,"au",datasheet!F2:F210,"18 - 24")</f>
        <v>2</v>
      </c>
      <c r="E11">
        <f>COUNTIFS(datasheet!B2:B210,"jp",datasheet!F2:F210,"18 - 24")</f>
        <v>0</v>
      </c>
      <c r="F11">
        <f>COUNTIFS(datasheet!B2:B210,"mi",datasheet!F2:F210,"18 - 24")</f>
        <v>0</v>
      </c>
      <c r="G11">
        <f>COUNTIFS(datasheet!B2:B210,"fj",datasheet!F2:F210,"18 - 24")</f>
        <v>0</v>
      </c>
      <c r="H11">
        <f>COUNTIFS(datasheet!B2:B210,"hi",datasheet!F2:F210,"18 - 24")</f>
        <v>0</v>
      </c>
      <c r="I11">
        <f>COUNTIFS(datasheet!B2:B210,"fp",datasheet!F2:F210,"18 - 24")</f>
        <v>0</v>
      </c>
      <c r="J11">
        <f t="shared" si="2"/>
        <v>2</v>
      </c>
      <c r="K11" s="17">
        <f t="shared" ref="K11:K15" si="4">C11/C$2</f>
        <v>0</v>
      </c>
      <c r="L11" s="17">
        <f t="shared" ref="L11:L15" si="5">D11/D$2</f>
        <v>3.6363636363636362E-2</v>
      </c>
      <c r="M11" s="17">
        <f t="shared" ref="M11:M15" si="6">E11/E$2</f>
        <v>0</v>
      </c>
      <c r="N11" s="17">
        <f t="shared" ref="N11:N15" si="7">F11/F$2</f>
        <v>0</v>
      </c>
      <c r="O11" s="17">
        <f t="shared" ref="O11:O15" si="8">G11/G$2</f>
        <v>0</v>
      </c>
      <c r="P11" s="17">
        <f t="shared" ref="P11:P15" si="9">H11/H$2</f>
        <v>0</v>
      </c>
      <c r="Q11" s="17">
        <f t="shared" ref="Q11:Q15" si="10">I11/I$2</f>
        <v>0</v>
      </c>
      <c r="R11" s="17">
        <f t="shared" ref="R11:R15" si="11">J11/J$2</f>
        <v>9.5693779904306216E-3</v>
      </c>
    </row>
    <row r="12" spans="1:18" x14ac:dyDescent="0.35">
      <c r="B12" t="s">
        <v>58</v>
      </c>
      <c r="C12">
        <f>COUNTIFS(datasheet!B2:B210,"id",datasheet!F2:F210,"25 - 34")</f>
        <v>11</v>
      </c>
      <c r="D12">
        <f>COUNTIFS(datasheet!B2:B210,"au",datasheet!F2:F210,"25 - 34")</f>
        <v>5</v>
      </c>
      <c r="E12">
        <f>COUNTIFS(datasheet!B2:B210,"jp",datasheet!F2:F210,"25 - 34")</f>
        <v>2</v>
      </c>
      <c r="F12">
        <f>COUNTIFS(datasheet!B2:B210,"mi",datasheet!F2:F210,"25 - 34")</f>
        <v>1</v>
      </c>
      <c r="G12">
        <f>COUNTIFS(datasheet!B2:B210,"fj",datasheet!F2:F210,"25 - 34")</f>
        <v>2</v>
      </c>
      <c r="H12">
        <f>COUNTIFS(datasheet!B2:B210,"hi",datasheet!F2:F210,"25 - 34")</f>
        <v>3</v>
      </c>
      <c r="I12">
        <f>COUNTIFS(datasheet!B2:B210,"fp",datasheet!F2:F210,"25 - 34")</f>
        <v>1</v>
      </c>
      <c r="J12">
        <f t="shared" si="2"/>
        <v>25</v>
      </c>
      <c r="K12" s="17">
        <f t="shared" si="4"/>
        <v>0.16176470588235295</v>
      </c>
      <c r="L12" s="17">
        <f t="shared" si="5"/>
        <v>9.0909090909090912E-2</v>
      </c>
      <c r="M12" s="17">
        <f t="shared" si="6"/>
        <v>8.6956521739130432E-2</v>
      </c>
      <c r="N12" s="17">
        <f t="shared" si="7"/>
        <v>5.8823529411764705E-2</v>
      </c>
      <c r="O12" s="17">
        <f t="shared" si="8"/>
        <v>0.125</v>
      </c>
      <c r="P12" s="17">
        <f t="shared" si="9"/>
        <v>0.2</v>
      </c>
      <c r="Q12" s="17">
        <f t="shared" si="10"/>
        <v>6.6666666666666666E-2</v>
      </c>
      <c r="R12" s="17">
        <f t="shared" si="11"/>
        <v>0.11961722488038277</v>
      </c>
    </row>
    <row r="13" spans="1:18" x14ac:dyDescent="0.35">
      <c r="B13" t="s">
        <v>52</v>
      </c>
      <c r="C13">
        <f>COUNTIFS(datasheet!B2:B210,"id",datasheet!F2:F210,"35 - 44")</f>
        <v>27</v>
      </c>
      <c r="D13">
        <f>COUNTIFS(datasheet!B2:B210,"au",datasheet!F2:F210,"35 - 44")</f>
        <v>18</v>
      </c>
      <c r="E13">
        <f>COUNTIFS(datasheet!B2:B210,"jp",datasheet!F2:F210,"35 - 44")</f>
        <v>14</v>
      </c>
      <c r="F13">
        <f>COUNTIFS(datasheet!B2:B210,"mi",datasheet!F2:F210,"35 - 44")</f>
        <v>5</v>
      </c>
      <c r="G13">
        <f>COUNTIFS(datasheet!B2:B210,"fj",datasheet!F2:F210,"35 - 44")</f>
        <v>2</v>
      </c>
      <c r="H13">
        <f>COUNTIFS(datasheet!B2:B210,"hi",datasheet!F2:F210,"35 - 44")</f>
        <v>6</v>
      </c>
      <c r="I13">
        <f>COUNTIFS(datasheet!B2:B210,"fp",datasheet!F2:F210,"35 - 44")</f>
        <v>4</v>
      </c>
      <c r="J13">
        <f t="shared" si="2"/>
        <v>76</v>
      </c>
      <c r="K13" s="17">
        <f t="shared" si="4"/>
        <v>0.39705882352941174</v>
      </c>
      <c r="L13" s="17">
        <f t="shared" si="5"/>
        <v>0.32727272727272727</v>
      </c>
      <c r="M13" s="17">
        <f t="shared" si="6"/>
        <v>0.60869565217391308</v>
      </c>
      <c r="N13" s="17">
        <f t="shared" si="7"/>
        <v>0.29411764705882354</v>
      </c>
      <c r="O13" s="17">
        <f t="shared" si="8"/>
        <v>0.125</v>
      </c>
      <c r="P13" s="17">
        <f t="shared" si="9"/>
        <v>0.4</v>
      </c>
      <c r="Q13" s="17">
        <f t="shared" si="10"/>
        <v>0.26666666666666666</v>
      </c>
      <c r="R13" s="17">
        <f t="shared" si="11"/>
        <v>0.36363636363636365</v>
      </c>
    </row>
    <row r="14" spans="1:18" x14ac:dyDescent="0.35">
      <c r="B14" t="s">
        <v>54</v>
      </c>
      <c r="C14">
        <f>COUNTIFS(datasheet!B2:B210,"id",datasheet!F2:F210,"45 - 54")</f>
        <v>23</v>
      </c>
      <c r="D14">
        <f>COUNTIFS(datasheet!B2:B210,"au",datasheet!F2:F210,"45 - 54")</f>
        <v>14</v>
      </c>
      <c r="E14">
        <f>COUNTIFS(datasheet!B2:B210,"jp",datasheet!F2:F210,"45 - 54")</f>
        <v>6</v>
      </c>
      <c r="F14">
        <f>COUNTIFS(datasheet!B2:B210,"mi",datasheet!F2:F210,"45 - 54")</f>
        <v>4</v>
      </c>
      <c r="G14">
        <f>COUNTIFS(datasheet!B2:B210,"fj",datasheet!F2:F210,"45 - 54")</f>
        <v>2</v>
      </c>
      <c r="H14">
        <f>COUNTIFS(datasheet!B2:B210,"hi",datasheet!F2:F210,"45 - 54")</f>
        <v>0</v>
      </c>
      <c r="I14">
        <f>COUNTIFS(datasheet!B2:B210,"fp",datasheet!F2:F210,"45 - 54")</f>
        <v>9</v>
      </c>
      <c r="J14">
        <f t="shared" si="2"/>
        <v>58</v>
      </c>
      <c r="K14" s="17">
        <f t="shared" si="4"/>
        <v>0.33823529411764708</v>
      </c>
      <c r="L14" s="17">
        <f t="shared" si="5"/>
        <v>0.25454545454545452</v>
      </c>
      <c r="M14" s="17">
        <f t="shared" si="6"/>
        <v>0.2608695652173913</v>
      </c>
      <c r="N14" s="17">
        <f t="shared" si="7"/>
        <v>0.23529411764705882</v>
      </c>
      <c r="O14" s="17">
        <f t="shared" si="8"/>
        <v>0.125</v>
      </c>
      <c r="P14" s="17">
        <f t="shared" si="9"/>
        <v>0</v>
      </c>
      <c r="Q14" s="17">
        <f t="shared" si="10"/>
        <v>0.6</v>
      </c>
      <c r="R14" s="17">
        <f t="shared" si="11"/>
        <v>0.27751196172248804</v>
      </c>
    </row>
    <row r="15" spans="1:18" x14ac:dyDescent="0.35">
      <c r="B15" t="s">
        <v>55</v>
      </c>
      <c r="C15">
        <f>COUNTIFS(datasheet!B2:B210,"id",datasheet!F2:F210,"55 - 64")</f>
        <v>6</v>
      </c>
      <c r="D15">
        <f>COUNTIFS(datasheet!B2:B210,"au",datasheet!F2:F210,"55 - 64")</f>
        <v>13</v>
      </c>
      <c r="E15">
        <f>COUNTIFS(datasheet!B2:B210,"jp",datasheet!F2:F210,"55 - 64")</f>
        <v>1</v>
      </c>
      <c r="F15">
        <f>COUNTIFS(datasheet!B2:B210,"mi",datasheet!F2:F210,"55 - 64")</f>
        <v>6</v>
      </c>
      <c r="G15">
        <f>COUNTIFS(datasheet!B2:B210,"fj",datasheet!F2:F210,"55 - 64")</f>
        <v>7</v>
      </c>
      <c r="H15">
        <f>COUNTIFS(datasheet!B2:B210,"hi",datasheet!F2:F210,"55 - 64")</f>
        <v>6</v>
      </c>
      <c r="I15">
        <f>COUNTIFS(datasheet!B2:B210,"fp",datasheet!F2:F210,"55 - 64")</f>
        <v>1</v>
      </c>
      <c r="J15">
        <f t="shared" si="2"/>
        <v>40</v>
      </c>
      <c r="K15" s="17">
        <f t="shared" si="4"/>
        <v>8.8235294117647065E-2</v>
      </c>
      <c r="L15" s="17">
        <f t="shared" si="5"/>
        <v>0.23636363636363636</v>
      </c>
      <c r="M15" s="17">
        <f t="shared" si="6"/>
        <v>4.3478260869565216E-2</v>
      </c>
      <c r="N15" s="17">
        <f t="shared" si="7"/>
        <v>0.35294117647058826</v>
      </c>
      <c r="O15" s="17">
        <f t="shared" si="8"/>
        <v>0.4375</v>
      </c>
      <c r="P15" s="17">
        <f t="shared" si="9"/>
        <v>0.4</v>
      </c>
      <c r="Q15" s="17">
        <f t="shared" si="10"/>
        <v>6.6666666666666666E-2</v>
      </c>
      <c r="R15" s="17">
        <f t="shared" si="11"/>
        <v>0.19138755980861244</v>
      </c>
    </row>
    <row r="16" spans="1:18" x14ac:dyDescent="0.35">
      <c r="B16" t="s">
        <v>53</v>
      </c>
      <c r="C16">
        <f>COUNTIFS(datasheet!B2:B210,"id",datasheet!F2:F210,"65+")</f>
        <v>1</v>
      </c>
      <c r="D16">
        <f>COUNTIFS(datasheet!B2:B210,"au",datasheet!F2:F210,"65+")</f>
        <v>3</v>
      </c>
      <c r="E16">
        <f>COUNTIFS(datasheet!B2:B210,"jp",datasheet!F2:F210,"65+")</f>
        <v>0</v>
      </c>
      <c r="F16">
        <f>COUNTIFS(datasheet!B2:B210,"mi",datasheet!F2:F210,"65+")</f>
        <v>1</v>
      </c>
      <c r="G16">
        <f>COUNTIFS(datasheet!B2:B210,"fj",datasheet!F2:F210,"65+")</f>
        <v>3</v>
      </c>
      <c r="H16">
        <f>COUNTIFS(datasheet!B2:B210,"hi",datasheet!F2:F210,"65+")</f>
        <v>0</v>
      </c>
      <c r="I16">
        <f>COUNTIFS(datasheet!B2:B210,"fp",datasheet!F2:F210,"65+")</f>
        <v>0</v>
      </c>
      <c r="J16">
        <f t="shared" si="2"/>
        <v>8</v>
      </c>
      <c r="K16" s="17">
        <f t="shared" ref="K16" si="12">C16/C$2</f>
        <v>1.4705882352941176E-2</v>
      </c>
      <c r="L16" s="17">
        <f t="shared" ref="L16" si="13">D16/D$2</f>
        <v>5.4545454545454543E-2</v>
      </c>
      <c r="M16" s="17">
        <f t="shared" ref="M16" si="14">E16/E$2</f>
        <v>0</v>
      </c>
      <c r="N16" s="17">
        <f t="shared" ref="N16" si="15">F16/F$2</f>
        <v>5.8823529411764705E-2</v>
      </c>
      <c r="O16" s="17">
        <f t="shared" ref="O16" si="16">G16/G$2</f>
        <v>0.1875</v>
      </c>
      <c r="P16" s="17">
        <f t="shared" ref="P16" si="17">H16/H$2</f>
        <v>0</v>
      </c>
      <c r="Q16" s="17">
        <f t="shared" ref="Q16" si="18">I16/I$2</f>
        <v>0</v>
      </c>
      <c r="R16" s="17">
        <f t="shared" ref="R16" si="19">J16/J$2</f>
        <v>3.8277511961722487E-2</v>
      </c>
    </row>
    <row r="17" spans="1:18" x14ac:dyDescent="0.35">
      <c r="A17" t="s">
        <v>194</v>
      </c>
      <c r="B17" t="s">
        <v>195</v>
      </c>
      <c r="C17">
        <f>COUNTIFS(datasheet!B2:B210,"id",datasheet!H2:H210,0)</f>
        <v>68</v>
      </c>
      <c r="D17">
        <f>COUNTIFS(datasheet!B2:B210,"au",datasheet!H2:H210,0)</f>
        <v>42</v>
      </c>
      <c r="E17">
        <f>COUNTIFS(datasheet!B2:B210,"jp",datasheet!H2:H210,0)</f>
        <v>23</v>
      </c>
      <c r="F17">
        <f>COUNTIFS(datasheet!B2:B210,"mi",datasheet!H2:H210,0)</f>
        <v>17</v>
      </c>
      <c r="G17">
        <f>COUNTIFS(datasheet!B2:B210,"fj",datasheet!H2:H210,0)</f>
        <v>0</v>
      </c>
      <c r="H17">
        <f>COUNTIFS(datasheet!B2:B210,"hi",datasheet!H2:H210,0)</f>
        <v>15</v>
      </c>
      <c r="I17">
        <f>COUNTIFS(datasheet!B2:B210,"fp",datasheet!H2:H210,0)</f>
        <v>15</v>
      </c>
      <c r="J17">
        <f t="shared" si="2"/>
        <v>180</v>
      </c>
      <c r="K17" s="17">
        <f t="shared" ref="K17:K18" si="20">C17/C$2</f>
        <v>1</v>
      </c>
      <c r="L17" s="17">
        <f t="shared" ref="L17:L18" si="21">D17/D$2</f>
        <v>0.76363636363636367</v>
      </c>
      <c r="M17" s="17">
        <f t="shared" ref="M17:M18" si="22">E17/E$2</f>
        <v>1</v>
      </c>
      <c r="N17" s="17">
        <f t="shared" ref="N17:N18" si="23">F17/F$2</f>
        <v>1</v>
      </c>
      <c r="O17" s="17">
        <f t="shared" ref="O17:O18" si="24">G17/G$2</f>
        <v>0</v>
      </c>
      <c r="P17" s="17">
        <f t="shared" ref="P17:P18" si="25">H17/H$2</f>
        <v>1</v>
      </c>
      <c r="Q17" s="17">
        <f t="shared" ref="Q17:Q18" si="26">I17/I$2</f>
        <v>1</v>
      </c>
      <c r="R17" s="17">
        <f t="shared" ref="R17:R18" si="27">J17/J$2</f>
        <v>0.86124401913875603</v>
      </c>
    </row>
    <row r="18" spans="1:18" x14ac:dyDescent="0.35">
      <c r="B18" t="s">
        <v>196</v>
      </c>
      <c r="C18">
        <f>COUNTIFS(datasheet!B2:B210,"id",datasheet!H2:H210,1)</f>
        <v>0</v>
      </c>
      <c r="D18">
        <f>COUNTIFS(datasheet!B2:B210,"au",datasheet!H2:H210,1)</f>
        <v>13</v>
      </c>
      <c r="E18">
        <f>COUNTIFS(datasheet!B2:B210,"jp",datasheet!H2:H210,1)</f>
        <v>0</v>
      </c>
      <c r="F18">
        <f>COUNTIFS(datasheet!B2:B210,"mi",datasheet!H2:H210,1)</f>
        <v>0</v>
      </c>
      <c r="G18">
        <f>COUNTIFS(datasheet!B2:B210,"fj",datasheet!H2:H210,1)</f>
        <v>16</v>
      </c>
      <c r="H18">
        <f>COUNTIFS(datasheet!B2:B210,"hi",datasheet!H2:H210,1)</f>
        <v>0</v>
      </c>
      <c r="I18">
        <f>COUNTIFS(datasheet!B2:B210,"fp",datasheet!H2:H210,1)</f>
        <v>0</v>
      </c>
      <c r="J18">
        <f t="shared" si="2"/>
        <v>29</v>
      </c>
      <c r="K18" s="17">
        <f t="shared" si="20"/>
        <v>0</v>
      </c>
      <c r="L18" s="17">
        <f t="shared" si="21"/>
        <v>0.23636363636363636</v>
      </c>
      <c r="M18" s="17">
        <f t="shared" si="22"/>
        <v>0</v>
      </c>
      <c r="N18" s="17">
        <f t="shared" si="23"/>
        <v>0</v>
      </c>
      <c r="O18" s="17">
        <f t="shared" si="24"/>
        <v>1</v>
      </c>
      <c r="P18" s="17">
        <f t="shared" si="25"/>
        <v>0</v>
      </c>
      <c r="Q18" s="17">
        <f t="shared" si="26"/>
        <v>0</v>
      </c>
      <c r="R18" s="17">
        <f t="shared" si="27"/>
        <v>0.13875598086124402</v>
      </c>
    </row>
    <row r="19" spans="1:18" x14ac:dyDescent="0.35">
      <c r="A19" t="s">
        <v>197</v>
      </c>
      <c r="B19" s="1">
        <v>0</v>
      </c>
      <c r="C19">
        <f>COUNTIFS(datasheet!B2:B210,"id",datasheet!I2:I210,0)</f>
        <v>16</v>
      </c>
      <c r="D19">
        <f>COUNTIFS(datasheet!B2:B210,"au",datasheet!I2:I210,0)</f>
        <v>20</v>
      </c>
      <c r="E19">
        <f>COUNTIFS(datasheet!B2:B210,"jp",datasheet!I2:I210,0)</f>
        <v>6</v>
      </c>
      <c r="F19">
        <f>COUNTIFS(datasheet!B2:B210,"mi",datasheet!I2:I210,0)</f>
        <v>5</v>
      </c>
      <c r="G19">
        <f>COUNTIFS(datasheet!B2:B210,"fj",datasheet!I2:I210,0)</f>
        <v>3</v>
      </c>
      <c r="H19">
        <f>COUNTIFS(datasheet!B2:B210,"hi",datasheet!I2:I210,0)</f>
        <v>5</v>
      </c>
      <c r="I19">
        <f>COUNTIFS(datasheet!B2:B210,"fp",datasheet!I2:I210,0)</f>
        <v>5</v>
      </c>
      <c r="J19">
        <f t="shared" si="2"/>
        <v>60</v>
      </c>
      <c r="K19" s="17">
        <f t="shared" ref="K19:K23" si="28">C19/C$2</f>
        <v>0.23529411764705882</v>
      </c>
      <c r="L19" s="17">
        <f t="shared" ref="L19:L23" si="29">D19/D$2</f>
        <v>0.36363636363636365</v>
      </c>
      <c r="M19" s="17">
        <f t="shared" ref="M19:M23" si="30">E19/E$2</f>
        <v>0.2608695652173913</v>
      </c>
      <c r="N19" s="17">
        <f t="shared" ref="N19:N23" si="31">F19/F$2</f>
        <v>0.29411764705882354</v>
      </c>
      <c r="O19" s="17">
        <f t="shared" ref="O19:O23" si="32">G19/G$2</f>
        <v>0.1875</v>
      </c>
      <c r="P19" s="17">
        <f t="shared" ref="P19:P23" si="33">H19/H$2</f>
        <v>0.33333333333333331</v>
      </c>
      <c r="Q19" s="17">
        <f t="shared" ref="Q19:Q23" si="34">I19/I$2</f>
        <v>0.33333333333333331</v>
      </c>
      <c r="R19" s="17">
        <f t="shared" ref="R19:R23" si="35">J19/J$2</f>
        <v>0.28708133971291866</v>
      </c>
    </row>
    <row r="20" spans="1:18" x14ac:dyDescent="0.35">
      <c r="B20" s="1">
        <v>0.25</v>
      </c>
      <c r="C20">
        <f>COUNTIFS(datasheet!B2:B210,"id",datasheet!I2:I210,0.25)</f>
        <v>31</v>
      </c>
      <c r="D20">
        <f>COUNTIFS(datasheet!B2:B210,"au",datasheet!I2:I210,0.25)</f>
        <v>9</v>
      </c>
      <c r="E20">
        <f>COUNTIFS(datasheet!B2:B210,"jp",datasheet!I2:I210,0.25)</f>
        <v>6</v>
      </c>
      <c r="F20">
        <f>COUNTIFS(datasheet!B2:B210,"mi",datasheet!I2:I210,0.25)</f>
        <v>4</v>
      </c>
      <c r="G20">
        <f>COUNTIFS(datasheet!B2:B210,"fj",datasheet!I2:I210,0.25)</f>
        <v>5</v>
      </c>
      <c r="H20">
        <f>COUNTIFS(datasheet!B2:B210,"hi",datasheet!I2:I210,0.25)</f>
        <v>2</v>
      </c>
      <c r="I20">
        <f>COUNTIFS(datasheet!B2:B210,"fp",datasheet!I2:I210,0.25)</f>
        <v>3</v>
      </c>
      <c r="J20">
        <f t="shared" si="2"/>
        <v>60</v>
      </c>
      <c r="K20" s="17">
        <f t="shared" si="28"/>
        <v>0.45588235294117646</v>
      </c>
      <c r="L20" s="17">
        <f t="shared" si="29"/>
        <v>0.16363636363636364</v>
      </c>
      <c r="M20" s="17">
        <f t="shared" si="30"/>
        <v>0.2608695652173913</v>
      </c>
      <c r="N20" s="17">
        <f t="shared" si="31"/>
        <v>0.23529411764705882</v>
      </c>
      <c r="O20" s="17">
        <f t="shared" si="32"/>
        <v>0.3125</v>
      </c>
      <c r="P20" s="17">
        <f t="shared" si="33"/>
        <v>0.13333333333333333</v>
      </c>
      <c r="Q20" s="17">
        <f t="shared" si="34"/>
        <v>0.2</v>
      </c>
      <c r="R20" s="17">
        <f t="shared" si="35"/>
        <v>0.28708133971291866</v>
      </c>
    </row>
    <row r="21" spans="1:18" x14ac:dyDescent="0.35">
      <c r="B21" s="1">
        <v>0.5</v>
      </c>
      <c r="C21">
        <f>COUNTIFS(datasheet!B2:B210,"id",datasheet!I2:I210,0.5)</f>
        <v>12</v>
      </c>
      <c r="D21">
        <f>COUNTIFS(datasheet!B2:B210,"au",datasheet!I2:I210,0.5)</f>
        <v>7</v>
      </c>
      <c r="E21">
        <f>COUNTIFS(datasheet!B2:B210,"jp",datasheet!I2:I210,0.5)</f>
        <v>4</v>
      </c>
      <c r="F21">
        <f>COUNTIFS(datasheet!B2:B210,"mi",datasheet!I2:I210,0.5)</f>
        <v>4</v>
      </c>
      <c r="G21">
        <f>COUNTIFS(datasheet!B2:B210,"fj",datasheet!I2:I210,0.5)</f>
        <v>3</v>
      </c>
      <c r="H21">
        <f>COUNTIFS(datasheet!B2:B210,"hi",datasheet!I2:I210,0.5)</f>
        <v>2</v>
      </c>
      <c r="I21">
        <f>COUNTIFS(datasheet!B2:B210,"fp",datasheet!I2:I210,0.5)</f>
        <v>1</v>
      </c>
      <c r="J21">
        <f t="shared" si="2"/>
        <v>33</v>
      </c>
      <c r="K21" s="17">
        <f t="shared" si="28"/>
        <v>0.17647058823529413</v>
      </c>
      <c r="L21" s="17">
        <f t="shared" si="29"/>
        <v>0.12727272727272726</v>
      </c>
      <c r="M21" s="17">
        <f t="shared" si="30"/>
        <v>0.17391304347826086</v>
      </c>
      <c r="N21" s="17">
        <f t="shared" si="31"/>
        <v>0.23529411764705882</v>
      </c>
      <c r="O21" s="17">
        <f t="shared" si="32"/>
        <v>0.1875</v>
      </c>
      <c r="P21" s="17">
        <f t="shared" si="33"/>
        <v>0.13333333333333333</v>
      </c>
      <c r="Q21" s="17">
        <f t="shared" si="34"/>
        <v>6.6666666666666666E-2</v>
      </c>
      <c r="R21" s="17">
        <f t="shared" si="35"/>
        <v>0.15789473684210525</v>
      </c>
    </row>
    <row r="22" spans="1:18" x14ac:dyDescent="0.35">
      <c r="B22" s="1">
        <v>0.75</v>
      </c>
      <c r="C22">
        <f>COUNTIFS(datasheet!B2:B210,"id",datasheet!I2:I210,0.75)</f>
        <v>4</v>
      </c>
      <c r="D22">
        <f>COUNTIFS(datasheet!B2:B210,"au",datasheet!I2:I210,0.75)</f>
        <v>8</v>
      </c>
      <c r="E22">
        <f>COUNTIFS(datasheet!B2:B210,"jp",datasheet!I2:I210,0.75)</f>
        <v>5</v>
      </c>
      <c r="F22">
        <f>COUNTIFS(datasheet!B2:B210,"mi",datasheet!I2:I210,0.75)</f>
        <v>3</v>
      </c>
      <c r="G22">
        <f>COUNTIFS(datasheet!B2:B210,"fj",datasheet!I2:I210,0.75)</f>
        <v>4</v>
      </c>
      <c r="H22">
        <f>COUNTIFS(datasheet!B2:B210,"hi",datasheet!I2:I210,0.75)</f>
        <v>1</v>
      </c>
      <c r="I22">
        <f>COUNTIFS(datasheet!B2:B210,"fp",datasheet!I2:I210,0.75)</f>
        <v>2</v>
      </c>
      <c r="J22">
        <f t="shared" si="2"/>
        <v>27</v>
      </c>
      <c r="K22" s="17">
        <f t="shared" si="28"/>
        <v>5.8823529411764705E-2</v>
      </c>
      <c r="L22" s="17">
        <f t="shared" si="29"/>
        <v>0.14545454545454545</v>
      </c>
      <c r="M22" s="17">
        <f t="shared" si="30"/>
        <v>0.21739130434782608</v>
      </c>
      <c r="N22" s="17">
        <f t="shared" si="31"/>
        <v>0.17647058823529413</v>
      </c>
      <c r="O22" s="17">
        <f t="shared" si="32"/>
        <v>0.25</v>
      </c>
      <c r="P22" s="17">
        <f t="shared" si="33"/>
        <v>6.6666666666666666E-2</v>
      </c>
      <c r="Q22" s="17">
        <f t="shared" si="34"/>
        <v>0.13333333333333333</v>
      </c>
      <c r="R22" s="17">
        <f t="shared" si="35"/>
        <v>0.12918660287081341</v>
      </c>
    </row>
    <row r="23" spans="1:18" x14ac:dyDescent="0.35">
      <c r="B23" s="1">
        <v>1</v>
      </c>
      <c r="C23">
        <f>COUNTIFS(datasheet!B2:B210,"id",datasheet!I2:I210,1)</f>
        <v>5</v>
      </c>
      <c r="D23">
        <f>COUNTIFS(datasheet!B2:B210,"au",datasheet!I2:I210,1)</f>
        <v>11</v>
      </c>
      <c r="E23">
        <f>COUNTIFS(datasheet!B2:B210,"jp",datasheet!I2:I210,1)</f>
        <v>2</v>
      </c>
      <c r="F23">
        <f>COUNTIFS(datasheet!B2:B210,"mi",datasheet!I2:I210,1)</f>
        <v>1</v>
      </c>
      <c r="G23">
        <f>COUNTIFS(datasheet!B2:B210,"fj",datasheet!I2:I210,1)</f>
        <v>1</v>
      </c>
      <c r="H23">
        <f>COUNTIFS(datasheet!B2:B210,"hi",datasheet!I2:I210,1)</f>
        <v>5</v>
      </c>
      <c r="I23">
        <f>COUNTIFS(datasheet!B2:B210,"fp",datasheet!I2:I210,1)</f>
        <v>4</v>
      </c>
      <c r="J23">
        <f t="shared" si="2"/>
        <v>29</v>
      </c>
      <c r="K23" s="17">
        <f t="shared" si="28"/>
        <v>7.3529411764705885E-2</v>
      </c>
      <c r="L23" s="17">
        <f t="shared" si="29"/>
        <v>0.2</v>
      </c>
      <c r="M23" s="17">
        <f t="shared" si="30"/>
        <v>8.6956521739130432E-2</v>
      </c>
      <c r="N23" s="17">
        <f t="shared" si="31"/>
        <v>5.8823529411764705E-2</v>
      </c>
      <c r="O23" s="17">
        <f t="shared" si="32"/>
        <v>6.25E-2</v>
      </c>
      <c r="P23" s="17">
        <f t="shared" si="33"/>
        <v>0.33333333333333331</v>
      </c>
      <c r="Q23" s="17">
        <f t="shared" si="34"/>
        <v>0.26666666666666666</v>
      </c>
      <c r="R23" s="17">
        <f t="shared" si="35"/>
        <v>0.13875598086124402</v>
      </c>
    </row>
    <row r="24" spans="1:18" x14ac:dyDescent="0.35">
      <c r="A24" t="s">
        <v>198</v>
      </c>
      <c r="B24" t="s">
        <v>199</v>
      </c>
      <c r="C24">
        <f>COUNTIFS(datasheet!B2:B210,"id",datasheet!Z2:Z210,1)</f>
        <v>23</v>
      </c>
      <c r="D24">
        <f>COUNTIFS(datasheet!B2:B210,"au",datasheet!Z2:Z210,1)</f>
        <v>21</v>
      </c>
      <c r="E24">
        <f>COUNTIFS(datasheet!B2:B210,"jp",datasheet!Z2:Z210,1)</f>
        <v>8</v>
      </c>
      <c r="F24">
        <f>COUNTIFS(datasheet!B2:B210,"mi",datasheet!Z2:Z210,1)</f>
        <v>6</v>
      </c>
      <c r="G24">
        <f>COUNTIFS(datasheet!B2:B210,"fj",datasheet!Z2:Z210,1)</f>
        <v>7</v>
      </c>
      <c r="H24">
        <f>COUNTIFS(datasheet!B2:B210,"hi",datasheet!Z2:Z210,1)</f>
        <v>2</v>
      </c>
      <c r="I24">
        <f>COUNTIFS(datasheet!B2:B210,"fp",datasheet!Z2:Z210,1)</f>
        <v>5</v>
      </c>
      <c r="J24">
        <f t="shared" si="2"/>
        <v>72</v>
      </c>
      <c r="K24" s="17">
        <f t="shared" ref="K24:K33" si="36">C24/C$2</f>
        <v>0.33823529411764708</v>
      </c>
      <c r="L24" s="17">
        <f t="shared" ref="L24:L33" si="37">D24/D$2</f>
        <v>0.38181818181818183</v>
      </c>
      <c r="M24" s="17">
        <f t="shared" ref="M24:M33" si="38">E24/E$2</f>
        <v>0.34782608695652173</v>
      </c>
      <c r="N24" s="17">
        <f t="shared" ref="N24:N33" si="39">F24/F$2</f>
        <v>0.35294117647058826</v>
      </c>
      <c r="O24" s="17">
        <f t="shared" ref="O24:O33" si="40">G24/G$2</f>
        <v>0.4375</v>
      </c>
      <c r="P24" s="17">
        <f t="shared" ref="P24:P33" si="41">H24/H$2</f>
        <v>0.13333333333333333</v>
      </c>
      <c r="Q24" s="17">
        <f t="shared" ref="Q24:Q33" si="42">I24/I$2</f>
        <v>0.33333333333333331</v>
      </c>
      <c r="R24" s="17">
        <f t="shared" ref="R24:R33" si="43">J24/J$2</f>
        <v>0.34449760765550241</v>
      </c>
    </row>
    <row r="25" spans="1:18" x14ac:dyDescent="0.35">
      <c r="B25" t="s">
        <v>200</v>
      </c>
      <c r="C25">
        <f>COUNTIFS(datasheet!B2:B210,"id",datasheet!AA2:AA210,1)</f>
        <v>13</v>
      </c>
      <c r="D25">
        <f>COUNTIFS(datasheet!B2:B210,"au",datasheet!AA2:AA210,1)</f>
        <v>11</v>
      </c>
      <c r="E25">
        <f>COUNTIFS(datasheet!B2:B210,"jp",datasheet!AA2:AA210,1)</f>
        <v>4</v>
      </c>
      <c r="F25">
        <f>COUNTIFS(datasheet!B2:B210,"mi",datasheet!AA2:AA210,1)</f>
        <v>4</v>
      </c>
      <c r="G25">
        <f>COUNTIFS(datasheet!B2:B210,"fj",datasheet!AA2:AA210,1)</f>
        <v>3</v>
      </c>
      <c r="H25">
        <f>COUNTIFS(datasheet!B2:B210,"hi",datasheet!AA2:AA210,1)</f>
        <v>2</v>
      </c>
      <c r="I25">
        <f>COUNTIFS(datasheet!B2:B210,"fp",datasheet!AA2:AA210,1)</f>
        <v>4</v>
      </c>
      <c r="J25">
        <f t="shared" si="2"/>
        <v>41</v>
      </c>
      <c r="K25" s="17">
        <f t="shared" si="36"/>
        <v>0.19117647058823528</v>
      </c>
      <c r="L25" s="17">
        <f t="shared" si="37"/>
        <v>0.2</v>
      </c>
      <c r="M25" s="17">
        <f t="shared" si="38"/>
        <v>0.17391304347826086</v>
      </c>
      <c r="N25" s="17">
        <f t="shared" si="39"/>
        <v>0.23529411764705882</v>
      </c>
      <c r="O25" s="17">
        <f t="shared" si="40"/>
        <v>0.1875</v>
      </c>
      <c r="P25" s="17">
        <f t="shared" si="41"/>
        <v>0.13333333333333333</v>
      </c>
      <c r="Q25" s="17">
        <f t="shared" si="42"/>
        <v>0.26666666666666666</v>
      </c>
      <c r="R25" s="17">
        <f t="shared" si="43"/>
        <v>0.19617224880382775</v>
      </c>
    </row>
    <row r="26" spans="1:18" x14ac:dyDescent="0.35">
      <c r="B26" t="s">
        <v>201</v>
      </c>
      <c r="C26">
        <f>COUNTIFS(datasheet!B2:B210,"id",datasheet!AC2:AC210,1)</f>
        <v>7</v>
      </c>
      <c r="D26">
        <f>COUNTIFS(datasheet!B2:B210,"au",datasheet!AC2:AC210,1)</f>
        <v>14</v>
      </c>
      <c r="E26">
        <f>COUNTIFS(datasheet!B2:B210,"jp",datasheet!AC2:AC210,1)</f>
        <v>3</v>
      </c>
      <c r="F26">
        <f>COUNTIFS(datasheet!B2:B210,"mi",datasheet!AC2:AC210,1)</f>
        <v>2</v>
      </c>
      <c r="G26">
        <f>COUNTIFS(datasheet!B2:B210,"fj",datasheet!AC2:AC210,1)</f>
        <v>3</v>
      </c>
      <c r="H26">
        <f>COUNTIFS(datasheet!B2:B210,"hi",datasheet!AC2:AC210,1)</f>
        <v>2</v>
      </c>
      <c r="I26">
        <f>COUNTIFS(datasheet!B2:B210,"fp",datasheet!AC2:AC210,1)</f>
        <v>0</v>
      </c>
      <c r="J26">
        <f t="shared" si="2"/>
        <v>31</v>
      </c>
      <c r="K26" s="17">
        <f t="shared" si="36"/>
        <v>0.10294117647058823</v>
      </c>
      <c r="L26" s="17">
        <f t="shared" si="37"/>
        <v>0.25454545454545452</v>
      </c>
      <c r="M26" s="17">
        <f t="shared" si="38"/>
        <v>0.13043478260869565</v>
      </c>
      <c r="N26" s="17">
        <f t="shared" si="39"/>
        <v>0.11764705882352941</v>
      </c>
      <c r="O26" s="17">
        <f t="shared" si="40"/>
        <v>0.1875</v>
      </c>
      <c r="P26" s="17">
        <f t="shared" si="41"/>
        <v>0.13333333333333333</v>
      </c>
      <c r="Q26" s="17">
        <f t="shared" si="42"/>
        <v>0</v>
      </c>
      <c r="R26" s="17">
        <f t="shared" si="43"/>
        <v>0.14832535885167464</v>
      </c>
    </row>
    <row r="27" spans="1:18" x14ac:dyDescent="0.35">
      <c r="B27" t="s">
        <v>202</v>
      </c>
      <c r="C27">
        <f>COUNTIFS(datasheet!B2:B210,"id",datasheet!AD2:AD210,1)</f>
        <v>50</v>
      </c>
      <c r="D27">
        <f>COUNTIFS(datasheet!B2:B210,"au",datasheet!AD2:AD210,1)</f>
        <v>23</v>
      </c>
      <c r="E27">
        <f>COUNTIFS(datasheet!B2:B210,"jp",datasheet!AD2:AD210,1)</f>
        <v>10</v>
      </c>
      <c r="F27">
        <f>COUNTIFS(datasheet!B2:B210,"mi",datasheet!AD2:AD210,1)</f>
        <v>12</v>
      </c>
      <c r="G27">
        <f>COUNTIFS(datasheet!B2:B210,"fj",datasheet!AD2:AD210,1)</f>
        <v>8</v>
      </c>
      <c r="H27">
        <f>COUNTIFS(datasheet!B2:B210,"hi",datasheet!AD2:AD210,1)</f>
        <v>7</v>
      </c>
      <c r="I27">
        <f>COUNTIFS(datasheet!B2:B210,"fp",datasheet!AD2:AD210,1)</f>
        <v>6</v>
      </c>
      <c r="J27">
        <f t="shared" si="2"/>
        <v>116</v>
      </c>
      <c r="K27" s="17">
        <f t="shared" si="36"/>
        <v>0.73529411764705888</v>
      </c>
      <c r="L27" s="17">
        <f t="shared" si="37"/>
        <v>0.41818181818181815</v>
      </c>
      <c r="M27" s="17">
        <f t="shared" si="38"/>
        <v>0.43478260869565216</v>
      </c>
      <c r="N27" s="17">
        <f t="shared" si="39"/>
        <v>0.70588235294117652</v>
      </c>
      <c r="O27" s="17">
        <f t="shared" si="40"/>
        <v>0.5</v>
      </c>
      <c r="P27" s="17">
        <f t="shared" si="41"/>
        <v>0.46666666666666667</v>
      </c>
      <c r="Q27" s="17">
        <f t="shared" si="42"/>
        <v>0.4</v>
      </c>
      <c r="R27" s="17">
        <f t="shared" si="43"/>
        <v>0.55502392344497609</v>
      </c>
    </row>
    <row r="28" spans="1:18" x14ac:dyDescent="0.35">
      <c r="B28" t="s">
        <v>203</v>
      </c>
      <c r="C28">
        <f>COUNTIFS(datasheet!B2:B210,"id",datasheet!Y2:Y210,1)</f>
        <v>5</v>
      </c>
      <c r="D28">
        <f>COUNTIFS(datasheet!B2:B210,"au",datasheet!Y2:Y210,1)</f>
        <v>5</v>
      </c>
      <c r="E28">
        <f>COUNTIFS(datasheet!B2:B210,"jp",datasheet!Y2:Y210,1)</f>
        <v>0</v>
      </c>
      <c r="F28">
        <f>COUNTIFS(datasheet!B2:B210,"mi",datasheet!Y2:Y210,1)</f>
        <v>1</v>
      </c>
      <c r="G28">
        <f>COUNTIFS(datasheet!B2:B210,"fj",datasheet!Y2:Y210,1)</f>
        <v>0</v>
      </c>
      <c r="H28">
        <f>COUNTIFS(datasheet!B2:B210,"hi",datasheet!Y2:Y210,1)</f>
        <v>1</v>
      </c>
      <c r="I28">
        <f>COUNTIFS(datasheet!B2:B210,"fp",datasheet!Y2:Y210,1)</f>
        <v>0</v>
      </c>
      <c r="J28">
        <f t="shared" si="2"/>
        <v>12</v>
      </c>
      <c r="K28" s="17">
        <f t="shared" si="36"/>
        <v>7.3529411764705885E-2</v>
      </c>
      <c r="L28" s="17">
        <f t="shared" si="37"/>
        <v>9.0909090909090912E-2</v>
      </c>
      <c r="M28" s="17">
        <f t="shared" si="38"/>
        <v>0</v>
      </c>
      <c r="N28" s="17">
        <f t="shared" si="39"/>
        <v>5.8823529411764705E-2</v>
      </c>
      <c r="O28" s="17">
        <f t="shared" si="40"/>
        <v>0</v>
      </c>
      <c r="P28" s="17">
        <f t="shared" si="41"/>
        <v>6.6666666666666666E-2</v>
      </c>
      <c r="Q28" s="17">
        <f t="shared" si="42"/>
        <v>0</v>
      </c>
      <c r="R28" s="17">
        <f t="shared" si="43"/>
        <v>5.7416267942583733E-2</v>
      </c>
    </row>
    <row r="29" spans="1:18" x14ac:dyDescent="0.35">
      <c r="B29" t="s">
        <v>204</v>
      </c>
      <c r="C29">
        <f>COUNTIFS(datasheet!B2:B210,"id",datasheet!AG2:AG210,1)</f>
        <v>6</v>
      </c>
      <c r="D29">
        <f>COUNTIFS(datasheet!B2:B210,"au",datasheet!AG2:AG210,1)</f>
        <v>7</v>
      </c>
      <c r="E29">
        <f>COUNTIFS(datasheet!B2:B210,"jp",datasheet!AG2:AG210,1)</f>
        <v>0</v>
      </c>
      <c r="F29">
        <f>COUNTIFS(datasheet!B2:B210,"mi",datasheet!AG2:AG210,1)</f>
        <v>1</v>
      </c>
      <c r="G29">
        <f>COUNTIFS(datasheet!B2:B210,"fj",datasheet!AG2:AG210,1)</f>
        <v>5</v>
      </c>
      <c r="H29">
        <f>COUNTIFS(datasheet!B2:B210,"hi",datasheet!AG2:AG210,1)</f>
        <v>0</v>
      </c>
      <c r="I29">
        <f>COUNTIFS(datasheet!B2:B210,"fp",datasheet!AG2:AG210,1)</f>
        <v>0</v>
      </c>
      <c r="J29">
        <f t="shared" si="2"/>
        <v>19</v>
      </c>
      <c r="K29" s="17">
        <f t="shared" si="36"/>
        <v>8.8235294117647065E-2</v>
      </c>
      <c r="L29" s="17">
        <f t="shared" si="37"/>
        <v>0.12727272727272726</v>
      </c>
      <c r="M29" s="17">
        <f t="shared" si="38"/>
        <v>0</v>
      </c>
      <c r="N29" s="17">
        <f t="shared" si="39"/>
        <v>5.8823529411764705E-2</v>
      </c>
      <c r="O29" s="17">
        <f t="shared" si="40"/>
        <v>0.3125</v>
      </c>
      <c r="P29" s="17">
        <f t="shared" si="41"/>
        <v>0</v>
      </c>
      <c r="Q29" s="17">
        <f t="shared" si="42"/>
        <v>0</v>
      </c>
      <c r="R29" s="17">
        <f t="shared" si="43"/>
        <v>9.0909090909090912E-2</v>
      </c>
    </row>
    <row r="30" spans="1:18" x14ac:dyDescent="0.35">
      <c r="B30" t="s">
        <v>205</v>
      </c>
      <c r="C30">
        <f>COUNTIFS(datasheet!B2:B210,"id",datasheet!AH2:AH210,1)</f>
        <v>21</v>
      </c>
      <c r="D30">
        <f>COUNTIFS(datasheet!B2:B210,"au",datasheet!AH2:AH210,1)</f>
        <v>6</v>
      </c>
      <c r="E30">
        <f>COUNTIFS(datasheet!B2:B210,"jp",datasheet!AH2:AH210,1)</f>
        <v>2</v>
      </c>
      <c r="F30">
        <f>COUNTIFS(datasheet!B2:B210,"mi",datasheet!AH2:AH210,1)</f>
        <v>5</v>
      </c>
      <c r="G30">
        <f>COUNTIFS(datasheet!B2:B210,"fj",datasheet!AH2:AH210,1)</f>
        <v>2</v>
      </c>
      <c r="H30">
        <f>COUNTIFS(datasheet!B2:B210,"hi",datasheet!AH2:AH210,1)</f>
        <v>1</v>
      </c>
      <c r="I30">
        <f>COUNTIFS(datasheet!B2:B210,"fp",datasheet!AH2:AH210,1)</f>
        <v>1</v>
      </c>
      <c r="J30">
        <f t="shared" si="2"/>
        <v>38</v>
      </c>
      <c r="K30" s="17">
        <f t="shared" si="36"/>
        <v>0.30882352941176472</v>
      </c>
      <c r="L30" s="17">
        <f t="shared" si="37"/>
        <v>0.10909090909090909</v>
      </c>
      <c r="M30" s="17">
        <f t="shared" si="38"/>
        <v>8.6956521739130432E-2</v>
      </c>
      <c r="N30" s="17">
        <f t="shared" si="39"/>
        <v>0.29411764705882354</v>
      </c>
      <c r="O30" s="17">
        <f t="shared" si="40"/>
        <v>0.125</v>
      </c>
      <c r="P30" s="17">
        <f t="shared" si="41"/>
        <v>6.6666666666666666E-2</v>
      </c>
      <c r="Q30" s="17">
        <f t="shared" si="42"/>
        <v>6.6666666666666666E-2</v>
      </c>
      <c r="R30" s="17">
        <f t="shared" si="43"/>
        <v>0.18181818181818182</v>
      </c>
    </row>
    <row r="31" spans="1:18" x14ac:dyDescent="0.35">
      <c r="B31" t="s">
        <v>206</v>
      </c>
      <c r="C31">
        <f>COUNTIFS(datasheet!B2:B210,"id",datasheet!AE2:AE210,1)</f>
        <v>0</v>
      </c>
      <c r="D31">
        <f>COUNTIFS(datasheet!B2:B210,"au",datasheet!AE2:AE210,1)</f>
        <v>1</v>
      </c>
      <c r="E31">
        <f>COUNTIFS(datasheet!B2:B210,"jp",datasheet!AE2:AE210,1)</f>
        <v>1</v>
      </c>
      <c r="F31">
        <f>COUNTIFS(datasheet!B2:B210,"mi",datasheet!AE2:AE210,1)</f>
        <v>0</v>
      </c>
      <c r="G31">
        <f>COUNTIFS(datasheet!B2:B210,"fj",datasheet!AE2:AE210,1)</f>
        <v>0</v>
      </c>
      <c r="H31">
        <f>COUNTIFS(datasheet!B2:B210,"hi",datasheet!AE2:AE210,1)</f>
        <v>0</v>
      </c>
      <c r="I31">
        <f>COUNTIFS(datasheet!B2:B210,"fp",datasheet!AE2:AE210,1)</f>
        <v>0</v>
      </c>
      <c r="J31">
        <f t="shared" si="2"/>
        <v>2</v>
      </c>
      <c r="K31" s="17">
        <f t="shared" si="36"/>
        <v>0</v>
      </c>
      <c r="L31" s="17">
        <f t="shared" si="37"/>
        <v>1.8181818181818181E-2</v>
      </c>
      <c r="M31" s="17">
        <f t="shared" si="38"/>
        <v>4.3478260869565216E-2</v>
      </c>
      <c r="N31" s="17">
        <f t="shared" si="39"/>
        <v>0</v>
      </c>
      <c r="O31" s="17">
        <f t="shared" si="40"/>
        <v>0</v>
      </c>
      <c r="P31" s="17">
        <f t="shared" si="41"/>
        <v>0</v>
      </c>
      <c r="Q31" s="17">
        <f t="shared" si="42"/>
        <v>0</v>
      </c>
      <c r="R31" s="17">
        <f t="shared" si="43"/>
        <v>9.5693779904306216E-3</v>
      </c>
    </row>
    <row r="32" spans="1:18" x14ac:dyDescent="0.35">
      <c r="B32" t="s">
        <v>207</v>
      </c>
      <c r="C32">
        <f>COUNTIFS(datasheet!B2:B210,"id",datasheet!AF2:AF210,1)</f>
        <v>51</v>
      </c>
      <c r="D32">
        <f>COUNTIFS(datasheet!B2:B210,"au",datasheet!AF2:AF210,1)</f>
        <v>30</v>
      </c>
      <c r="E32">
        <f>COUNTIFS(datasheet!B2:B210,"jp",datasheet!AF2:AF210,1)</f>
        <v>17</v>
      </c>
      <c r="F32">
        <f>COUNTIFS(datasheet!B2:B210,"mi",datasheet!AF2:AF210,1)</f>
        <v>12</v>
      </c>
      <c r="G32">
        <f>COUNTIFS(datasheet!B2:B210,"fj",datasheet!AF2:AF210,1)</f>
        <v>9</v>
      </c>
      <c r="H32">
        <f>COUNTIFS(datasheet!B2:B210,"hi",datasheet!AF2:AF210,1)</f>
        <v>9</v>
      </c>
      <c r="I32">
        <f>COUNTIFS(datasheet!B2:B210,"fp",datasheet!AF2:AF210,1)</f>
        <v>10</v>
      </c>
      <c r="J32">
        <f t="shared" si="2"/>
        <v>138</v>
      </c>
      <c r="K32" s="17">
        <f t="shared" si="36"/>
        <v>0.75</v>
      </c>
      <c r="L32" s="17">
        <f t="shared" si="37"/>
        <v>0.54545454545454541</v>
      </c>
      <c r="M32" s="17">
        <f t="shared" si="38"/>
        <v>0.73913043478260865</v>
      </c>
      <c r="N32" s="17">
        <f t="shared" si="39"/>
        <v>0.70588235294117652</v>
      </c>
      <c r="O32" s="17">
        <f t="shared" si="40"/>
        <v>0.5625</v>
      </c>
      <c r="P32" s="17">
        <f t="shared" si="41"/>
        <v>0.6</v>
      </c>
      <c r="Q32" s="17">
        <f t="shared" si="42"/>
        <v>0.66666666666666663</v>
      </c>
      <c r="R32" s="17">
        <f t="shared" si="43"/>
        <v>0.66028708133971292</v>
      </c>
    </row>
    <row r="33" spans="1:18" x14ac:dyDescent="0.35">
      <c r="B33" t="s">
        <v>208</v>
      </c>
      <c r="C33">
        <f>COUNTIFS(datasheet!B2:B210,"id",datasheet!AI2:AI210,1)</f>
        <v>38</v>
      </c>
      <c r="D33">
        <f>COUNTIFS(datasheet!B2:B210,"au",datasheet!AI2:AI210,1)</f>
        <v>20</v>
      </c>
      <c r="E33">
        <f>COUNTIFS(datasheet!B2:B210,"jp",datasheet!AI2:AI210,1)</f>
        <v>5</v>
      </c>
      <c r="F33">
        <f>COUNTIFS(datasheet!B2:B210,"mi",datasheet!AI2:AI210,1)</f>
        <v>8</v>
      </c>
      <c r="G33">
        <f>COUNTIFS(datasheet!B2:B210,"fj",datasheet!AI2:AI210,1)</f>
        <v>7</v>
      </c>
      <c r="H33">
        <f>COUNTIFS(datasheet!B2:B210,"hi",datasheet!AI2:AI210,1)</f>
        <v>4</v>
      </c>
      <c r="I33">
        <f>COUNTIFS(datasheet!B2:B210,"fp",datasheet!AI2:AI210,1)</f>
        <v>5</v>
      </c>
      <c r="J33">
        <f t="shared" si="2"/>
        <v>87</v>
      </c>
      <c r="K33" s="17">
        <f t="shared" si="36"/>
        <v>0.55882352941176472</v>
      </c>
      <c r="L33" s="17">
        <f t="shared" si="37"/>
        <v>0.36363636363636365</v>
      </c>
      <c r="M33" s="17">
        <f t="shared" si="38"/>
        <v>0.21739130434782608</v>
      </c>
      <c r="N33" s="17">
        <f t="shared" si="39"/>
        <v>0.47058823529411764</v>
      </c>
      <c r="O33" s="17">
        <f t="shared" si="40"/>
        <v>0.4375</v>
      </c>
      <c r="P33" s="17">
        <f t="shared" si="41"/>
        <v>0.26666666666666666</v>
      </c>
      <c r="Q33" s="17">
        <f t="shared" si="42"/>
        <v>0.33333333333333331</v>
      </c>
      <c r="R33" s="17">
        <f t="shared" si="43"/>
        <v>0.41626794258373206</v>
      </c>
    </row>
    <row r="34" spans="1:18" x14ac:dyDescent="0.35">
      <c r="A34" t="s">
        <v>209</v>
      </c>
      <c r="B34" t="s">
        <v>210</v>
      </c>
      <c r="C34">
        <f>COUNTIFS(datasheet!B2:B210,"id",datasheet!S2:S210,1)</f>
        <v>32</v>
      </c>
      <c r="D34">
        <f>COUNTIFS(datasheet!B2:B210,"au",datasheet!S2:S210,1)</f>
        <v>21</v>
      </c>
      <c r="E34">
        <f>COUNTIFS(datasheet!B2:B210,"jp",datasheet!S2:S210,1)</f>
        <v>10</v>
      </c>
      <c r="F34">
        <f>COUNTIFS(datasheet!B2:B210,"mi",datasheet!S2:S210,1)</f>
        <v>5</v>
      </c>
      <c r="G34">
        <f>COUNTIFS(datasheet!B2:B210,"fj",datasheet!S2:S210,1)</f>
        <v>2</v>
      </c>
      <c r="H34">
        <f>COUNTIFS(datasheet!B2:B210,"hi",datasheet!S2:S210,1)</f>
        <v>7</v>
      </c>
      <c r="I34">
        <f>COUNTIFS(datasheet!B2:B210,"fp",datasheet!S2:S210,1)</f>
        <v>3</v>
      </c>
      <c r="J34">
        <f t="shared" si="2"/>
        <v>80</v>
      </c>
      <c r="K34" s="17">
        <f t="shared" ref="K34:K38" si="44">C34/C$2</f>
        <v>0.47058823529411764</v>
      </c>
      <c r="L34" s="17">
        <f t="shared" ref="L34:L38" si="45">D34/D$2</f>
        <v>0.38181818181818183</v>
      </c>
      <c r="M34" s="17">
        <f t="shared" ref="M34:M38" si="46">E34/E$2</f>
        <v>0.43478260869565216</v>
      </c>
      <c r="N34" s="17">
        <f t="shared" ref="N34:N38" si="47">F34/F$2</f>
        <v>0.29411764705882354</v>
      </c>
      <c r="O34" s="17">
        <f t="shared" ref="O34:O38" si="48">G34/G$2</f>
        <v>0.125</v>
      </c>
      <c r="P34" s="17">
        <f t="shared" ref="P34:P38" si="49">H34/H$2</f>
        <v>0.46666666666666667</v>
      </c>
      <c r="Q34" s="17">
        <f t="shared" ref="Q34:Q38" si="50">I34/I$2</f>
        <v>0.2</v>
      </c>
      <c r="R34" s="17">
        <f t="shared" ref="R34:R38" si="51">J34/J$2</f>
        <v>0.38277511961722488</v>
      </c>
    </row>
    <row r="35" spans="1:18" x14ac:dyDescent="0.35">
      <c r="B35" t="s">
        <v>211</v>
      </c>
      <c r="C35">
        <f>COUNTIFS(datasheet!B2:B210,"id",datasheet!S2:S210,2)</f>
        <v>18</v>
      </c>
      <c r="D35">
        <f>COUNTIFS(datasheet!B2:B210,"au",datasheet!S2:S210,2)</f>
        <v>14</v>
      </c>
      <c r="E35">
        <f>COUNTIFS(datasheet!B2:B210,"jp",datasheet!S2:S210,2)</f>
        <v>2</v>
      </c>
      <c r="F35">
        <f>COUNTIFS(datasheet!B2:B210,"mi",datasheet!S2:S210,2)</f>
        <v>6</v>
      </c>
      <c r="G35">
        <f>COUNTIFS(datasheet!B2:B210,"fj",datasheet!S2:S210,2)</f>
        <v>2</v>
      </c>
      <c r="H35">
        <f>COUNTIFS(datasheet!B2:B210,"hi",datasheet!S2:S210,2)</f>
        <v>3</v>
      </c>
      <c r="I35">
        <f>COUNTIFS(datasheet!B2:B210,"fp",datasheet!S2:S210,2)</f>
        <v>4</v>
      </c>
      <c r="J35">
        <f t="shared" si="2"/>
        <v>49</v>
      </c>
      <c r="K35" s="17">
        <f t="shared" si="44"/>
        <v>0.26470588235294118</v>
      </c>
      <c r="L35" s="17">
        <f t="shared" si="45"/>
        <v>0.25454545454545452</v>
      </c>
      <c r="M35" s="17">
        <f t="shared" si="46"/>
        <v>8.6956521739130432E-2</v>
      </c>
      <c r="N35" s="17">
        <f t="shared" si="47"/>
        <v>0.35294117647058826</v>
      </c>
      <c r="O35" s="17">
        <f t="shared" si="48"/>
        <v>0.125</v>
      </c>
      <c r="P35" s="17">
        <f t="shared" si="49"/>
        <v>0.2</v>
      </c>
      <c r="Q35" s="17">
        <f t="shared" si="50"/>
        <v>0.26666666666666666</v>
      </c>
      <c r="R35" s="17">
        <f t="shared" si="51"/>
        <v>0.23444976076555024</v>
      </c>
    </row>
    <row r="36" spans="1:18" x14ac:dyDescent="0.35">
      <c r="B36" t="s">
        <v>212</v>
      </c>
      <c r="C36">
        <f>COUNTIFS(datasheet!B2:B210,"id",datasheet!S2:S210,3)</f>
        <v>13</v>
      </c>
      <c r="D36">
        <f>COUNTIFS(datasheet!B2:B210,"au",datasheet!S2:S210,3)</f>
        <v>9</v>
      </c>
      <c r="E36">
        <f>COUNTIFS(datasheet!B2:B210,"jp",datasheet!S2:S210,3)</f>
        <v>4</v>
      </c>
      <c r="F36">
        <f>COUNTIFS(datasheet!B2:B210,"mi",datasheet!S2:S210,3)</f>
        <v>4</v>
      </c>
      <c r="G36">
        <f>COUNTIFS(datasheet!B2:B210,"fj",datasheet!S2:S210,3)</f>
        <v>4</v>
      </c>
      <c r="H36">
        <f>COUNTIFS(datasheet!B2:B210,"hi",datasheet!S2:S210,3)</f>
        <v>4</v>
      </c>
      <c r="I36">
        <f>COUNTIFS(datasheet!B2:B210,"fp",datasheet!S2:S210,3)</f>
        <v>4</v>
      </c>
      <c r="J36">
        <f t="shared" si="2"/>
        <v>42</v>
      </c>
      <c r="K36" s="17">
        <f t="shared" si="44"/>
        <v>0.19117647058823528</v>
      </c>
      <c r="L36" s="17">
        <f t="shared" si="45"/>
        <v>0.16363636363636364</v>
      </c>
      <c r="M36" s="17">
        <f t="shared" si="46"/>
        <v>0.17391304347826086</v>
      </c>
      <c r="N36" s="17">
        <f t="shared" si="47"/>
        <v>0.23529411764705882</v>
      </c>
      <c r="O36" s="17">
        <f t="shared" si="48"/>
        <v>0.25</v>
      </c>
      <c r="P36" s="17">
        <f t="shared" si="49"/>
        <v>0.26666666666666666</v>
      </c>
      <c r="Q36" s="17">
        <f t="shared" si="50"/>
        <v>0.26666666666666666</v>
      </c>
      <c r="R36" s="17">
        <f t="shared" si="51"/>
        <v>0.20095693779904306</v>
      </c>
    </row>
    <row r="37" spans="1:18" x14ac:dyDescent="0.35">
      <c r="B37" t="s">
        <v>213</v>
      </c>
      <c r="C37">
        <f>COUNTIFS(datasheet!B2:B210,"id",datasheet!S2:S210,4)</f>
        <v>4</v>
      </c>
      <c r="D37">
        <f>COUNTIFS(datasheet!B2:B210,"au",datasheet!S2:S210,4)</f>
        <v>8</v>
      </c>
      <c r="E37">
        <f>COUNTIFS(datasheet!B2:B210,"jp",datasheet!S2:S210,4)</f>
        <v>5</v>
      </c>
      <c r="F37">
        <f>COUNTIFS(datasheet!B2:B210,"mi",datasheet!S2:S210,4)</f>
        <v>1</v>
      </c>
      <c r="G37">
        <f>COUNTIFS(datasheet!B2:B210,"fj",datasheet!S2:S210,4)</f>
        <v>3</v>
      </c>
      <c r="H37">
        <f>COUNTIFS(datasheet!B2:B210,"hi",datasheet!S2:S210,4)</f>
        <v>0</v>
      </c>
      <c r="I37">
        <f>COUNTIFS(datasheet!B2:B210,"fp",datasheet!S2:S210,4)</f>
        <v>2</v>
      </c>
      <c r="J37">
        <f t="shared" si="2"/>
        <v>23</v>
      </c>
      <c r="K37" s="17">
        <f t="shared" si="44"/>
        <v>5.8823529411764705E-2</v>
      </c>
      <c r="L37" s="17">
        <f t="shared" si="45"/>
        <v>0.14545454545454545</v>
      </c>
      <c r="M37" s="17">
        <f t="shared" si="46"/>
        <v>0.21739130434782608</v>
      </c>
      <c r="N37" s="17">
        <f t="shared" si="47"/>
        <v>5.8823529411764705E-2</v>
      </c>
      <c r="O37" s="17">
        <f t="shared" si="48"/>
        <v>0.1875</v>
      </c>
      <c r="P37" s="17">
        <f t="shared" si="49"/>
        <v>0</v>
      </c>
      <c r="Q37" s="17">
        <f t="shared" si="50"/>
        <v>0.13333333333333333</v>
      </c>
      <c r="R37" s="17">
        <f t="shared" si="51"/>
        <v>0.11004784688995216</v>
      </c>
    </row>
    <row r="38" spans="1:18" x14ac:dyDescent="0.35">
      <c r="B38" t="s">
        <v>214</v>
      </c>
      <c r="C38">
        <f>COUNTIFS(datasheet!B2:B210,"id",datasheet!S2:S210,5)</f>
        <v>1</v>
      </c>
      <c r="D38">
        <f>COUNTIFS(datasheet!B2:B210,"au",datasheet!S2:S210,5)</f>
        <v>3</v>
      </c>
      <c r="E38">
        <f>COUNTIFS(datasheet!B2:B210,"jp",datasheet!S2:S210,5)</f>
        <v>2</v>
      </c>
      <c r="F38">
        <f>COUNTIFS(datasheet!B2:B210,"mi",datasheet!S2:S210,5)</f>
        <v>1</v>
      </c>
      <c r="G38">
        <f>COUNTIFS(datasheet!B2:B210,"fj",datasheet!S2:S210,5)</f>
        <v>5</v>
      </c>
      <c r="H38">
        <f>COUNTIFS(datasheet!B2:B210,"hi",datasheet!S2:S210,5)</f>
        <v>1</v>
      </c>
      <c r="I38">
        <f>COUNTIFS(datasheet!B2:B210,"fp",datasheet!S2:S210,5)</f>
        <v>1</v>
      </c>
      <c r="J38">
        <f t="shared" si="2"/>
        <v>14</v>
      </c>
      <c r="K38" s="17">
        <f t="shared" si="44"/>
        <v>1.4705882352941176E-2</v>
      </c>
      <c r="L38" s="17">
        <f t="shared" si="45"/>
        <v>5.4545454545454543E-2</v>
      </c>
      <c r="M38" s="17">
        <f t="shared" si="46"/>
        <v>8.6956521739130432E-2</v>
      </c>
      <c r="N38" s="17">
        <f t="shared" si="47"/>
        <v>5.8823529411764705E-2</v>
      </c>
      <c r="O38" s="17">
        <f t="shared" si="48"/>
        <v>0.3125</v>
      </c>
      <c r="P38" s="17">
        <f t="shared" si="49"/>
        <v>6.6666666666666666E-2</v>
      </c>
      <c r="Q38" s="17">
        <f t="shared" si="50"/>
        <v>6.6666666666666666E-2</v>
      </c>
      <c r="R38" s="17">
        <f t="shared" si="51"/>
        <v>6.6985645933014357E-2</v>
      </c>
    </row>
    <row r="39" spans="1:18" x14ac:dyDescent="0.35">
      <c r="A39" t="s">
        <v>215</v>
      </c>
      <c r="B39" t="s">
        <v>216</v>
      </c>
      <c r="C39">
        <f>COUNTIFS(datasheet!B2:B210,"id",datasheet!U2:U210,0)</f>
        <v>43</v>
      </c>
      <c r="D39">
        <f>COUNTIFS(datasheet!B2:B210,"au",datasheet!U2:U210,0)</f>
        <v>28</v>
      </c>
      <c r="E39">
        <f>COUNTIFS(datasheet!B2:B210,"jp",datasheet!U2:U210,0)</f>
        <v>10</v>
      </c>
      <c r="F39">
        <f>COUNTIFS(datasheet!B2:B210,"mi",datasheet!U2:U210,0)</f>
        <v>13</v>
      </c>
      <c r="G39">
        <f>COUNTIFS(datasheet!B2:B210,"fj",datasheet!U2:U210,0)</f>
        <v>7</v>
      </c>
      <c r="H39">
        <f>COUNTIFS(datasheet!B2:B210,"hi",datasheet!U2:U210,0)</f>
        <v>11</v>
      </c>
      <c r="I39">
        <f>COUNTIFS(datasheet!B2:B210,"fp",datasheet!U2:U210,0)</f>
        <v>10</v>
      </c>
      <c r="J39">
        <f t="shared" si="2"/>
        <v>122</v>
      </c>
      <c r="K39" s="17">
        <f t="shared" ref="K39:K41" si="52">C39/C$2</f>
        <v>0.63235294117647056</v>
      </c>
      <c r="L39" s="17">
        <f t="shared" ref="L39:L41" si="53">D39/D$2</f>
        <v>0.50909090909090904</v>
      </c>
      <c r="M39" s="17">
        <f t="shared" ref="M39:M41" si="54">E39/E$2</f>
        <v>0.43478260869565216</v>
      </c>
      <c r="N39" s="17">
        <f t="shared" ref="N39:N41" si="55">F39/F$2</f>
        <v>0.76470588235294112</v>
      </c>
      <c r="O39" s="17">
        <f t="shared" ref="O39:O41" si="56">G39/G$2</f>
        <v>0.4375</v>
      </c>
      <c r="P39" s="17">
        <f t="shared" ref="P39:P41" si="57">H39/H$2</f>
        <v>0.73333333333333328</v>
      </c>
      <c r="Q39" s="17">
        <f>I39/I$2</f>
        <v>0.66666666666666663</v>
      </c>
      <c r="R39" s="17">
        <f t="shared" ref="R39:R41" si="58">J39/J$2</f>
        <v>0.58373205741626799</v>
      </c>
    </row>
    <row r="40" spans="1:18" x14ac:dyDescent="0.35">
      <c r="B40" t="s">
        <v>217</v>
      </c>
      <c r="C40">
        <f>COUNTIFS(datasheet!B2:B210,"id",datasheet!U2:U210,"&lt;0")</f>
        <v>12</v>
      </c>
      <c r="D40">
        <f>COUNTIFS(datasheet!B2:B210,"au",datasheet!U2:U210,"&lt;0")</f>
        <v>16</v>
      </c>
      <c r="E40">
        <f>COUNTIFS(datasheet!B2:B210,"jp",datasheet!U2:U210,"&lt;0")</f>
        <v>5</v>
      </c>
      <c r="F40">
        <f>COUNTIFS(datasheet!B2:B210,"mi",datasheet!U2:U210,"&lt;0")</f>
        <v>2</v>
      </c>
      <c r="G40">
        <f>COUNTIFS(datasheet!B2:B210,"fj",datasheet!U2:U210,"&lt;0")</f>
        <v>5</v>
      </c>
      <c r="H40">
        <f>COUNTIFS(datasheet!B2:B210,"hi",datasheet!U2:U210,"&lt;0")</f>
        <v>1</v>
      </c>
      <c r="I40">
        <f>COUNTIFS(datasheet!B2:B210,"fp",datasheet!U2:U210,"&lt;0")</f>
        <v>2</v>
      </c>
      <c r="J40">
        <f t="shared" si="2"/>
        <v>43</v>
      </c>
      <c r="K40" s="17">
        <f t="shared" si="52"/>
        <v>0.17647058823529413</v>
      </c>
      <c r="L40" s="17">
        <f t="shared" si="53"/>
        <v>0.29090909090909089</v>
      </c>
      <c r="M40" s="17">
        <f t="shared" si="54"/>
        <v>0.21739130434782608</v>
      </c>
      <c r="N40" s="17">
        <f t="shared" si="55"/>
        <v>0.11764705882352941</v>
      </c>
      <c r="O40" s="17">
        <f t="shared" si="56"/>
        <v>0.3125</v>
      </c>
      <c r="P40" s="17">
        <f t="shared" si="57"/>
        <v>6.6666666666666666E-2</v>
      </c>
      <c r="Q40" s="17">
        <f t="shared" ref="Q40:Q41" si="59">I40/I$2</f>
        <v>0.13333333333333333</v>
      </c>
      <c r="R40" s="17">
        <f t="shared" si="58"/>
        <v>0.20574162679425836</v>
      </c>
    </row>
    <row r="41" spans="1:18" x14ac:dyDescent="0.35">
      <c r="B41" t="s">
        <v>218</v>
      </c>
      <c r="C41">
        <f>COUNTIFS(datasheet!B2:B210,"id",datasheet!U2:U210,"&gt;0")</f>
        <v>13</v>
      </c>
      <c r="D41">
        <f>COUNTIFS(datasheet!B2:B210,"au",datasheet!U2:U210,"&gt;0")</f>
        <v>11</v>
      </c>
      <c r="E41">
        <f>COUNTIFS(datasheet!B2:B210,"jp",datasheet!U2:U210,"&gt;0")</f>
        <v>8</v>
      </c>
      <c r="F41">
        <f>COUNTIFS(datasheet!B2:B210,"mi",datasheet!U2:U210,"&gt;0")</f>
        <v>2</v>
      </c>
      <c r="G41">
        <f>COUNTIFS(datasheet!B2:B210,"fj",datasheet!U2:U210,"&gt;0")</f>
        <v>4</v>
      </c>
      <c r="H41">
        <f>COUNTIFS(datasheet!B2:B210,"hi",datasheet!U2:U210,"&gt;0")</f>
        <v>3</v>
      </c>
      <c r="I41">
        <f>COUNTIFS(datasheet!B2:B210,"fp",datasheet!U2:U210,"&gt;0")</f>
        <v>2</v>
      </c>
      <c r="J41">
        <f t="shared" si="2"/>
        <v>43</v>
      </c>
      <c r="K41" s="17">
        <f t="shared" si="52"/>
        <v>0.19117647058823528</v>
      </c>
      <c r="L41" s="17">
        <f t="shared" si="53"/>
        <v>0.2</v>
      </c>
      <c r="M41" s="17">
        <f t="shared" si="54"/>
        <v>0.34782608695652173</v>
      </c>
      <c r="N41" s="17">
        <f t="shared" si="55"/>
        <v>0.11764705882352941</v>
      </c>
      <c r="O41" s="17">
        <f t="shared" si="56"/>
        <v>0.25</v>
      </c>
      <c r="P41" s="17">
        <f t="shared" si="57"/>
        <v>0.2</v>
      </c>
      <c r="Q41" s="17">
        <f t="shared" si="59"/>
        <v>0.13333333333333333</v>
      </c>
      <c r="R41" s="17">
        <f t="shared" si="58"/>
        <v>0.20574162679425836</v>
      </c>
    </row>
    <row r="42" spans="1:18" x14ac:dyDescent="0.35">
      <c r="A42" t="s">
        <v>219</v>
      </c>
      <c r="B42" t="s">
        <v>222</v>
      </c>
      <c r="C42">
        <f>COUNTIFS(datasheet!B2:B210,"id",datasheet!V2:V210,-1)</f>
        <v>2</v>
      </c>
      <c r="D42">
        <f>COUNTIFS(datasheet!B2:B210,"au",datasheet!V2:V210,-1)</f>
        <v>0</v>
      </c>
      <c r="E42">
        <f>COUNTIFS(datasheet!B2:B210,"jp",datasheet!V2:V210,-1)</f>
        <v>0</v>
      </c>
      <c r="F42">
        <f>COUNTIFS(datasheet!B2:B210,"mi",datasheet!V2:V210,-1)</f>
        <v>0</v>
      </c>
      <c r="G42">
        <f>COUNTIFS(datasheet!B2:B210,"fj",datasheet!V2:V210,-1)</f>
        <v>0</v>
      </c>
      <c r="H42">
        <f>COUNTIFS(datasheet!B2:B210,"hi",datasheet!V2:V210,-1)</f>
        <v>0</v>
      </c>
      <c r="I42">
        <f>COUNTIFS(datasheet!B2:B210,"fp",datasheet!V2:V210,-1)</f>
        <v>0</v>
      </c>
      <c r="J42">
        <f t="shared" si="2"/>
        <v>2</v>
      </c>
      <c r="K42" s="17">
        <f t="shared" ref="K42:K45" si="60">C42/C$2</f>
        <v>2.9411764705882353E-2</v>
      </c>
      <c r="L42" s="17">
        <f t="shared" ref="L42:L45" si="61">D42/D$2</f>
        <v>0</v>
      </c>
      <c r="M42" s="17">
        <f t="shared" ref="M42:M45" si="62">E42/E$2</f>
        <v>0</v>
      </c>
      <c r="N42" s="17">
        <f t="shared" ref="N42:N45" si="63">F42/F$2</f>
        <v>0</v>
      </c>
      <c r="O42" s="17">
        <f t="shared" ref="O42:O45" si="64">G42/G$2</f>
        <v>0</v>
      </c>
      <c r="P42" s="17">
        <f t="shared" ref="P42:P45" si="65">H42/H$2</f>
        <v>0</v>
      </c>
      <c r="Q42" s="17">
        <f t="shared" ref="Q42:Q45" si="66">I42/I$2</f>
        <v>0</v>
      </c>
      <c r="R42" s="17">
        <f t="shared" ref="R42:R45" si="67">J42/J$2</f>
        <v>9.5693779904306216E-3</v>
      </c>
    </row>
    <row r="43" spans="1:18" x14ac:dyDescent="0.35">
      <c r="B43" t="s">
        <v>112</v>
      </c>
      <c r="C43">
        <f>COUNTIFS(datasheet!B2:B210,"id",datasheet!V2:V210,0)</f>
        <v>16</v>
      </c>
      <c r="D43">
        <f>COUNTIFS(datasheet!B2:B210,"au",datasheet!V2:V210,0)</f>
        <v>18</v>
      </c>
      <c r="E43">
        <f>COUNTIFS(datasheet!B2:B210,"jp",datasheet!V2:V210,0)</f>
        <v>8</v>
      </c>
      <c r="F43">
        <f>COUNTIFS(datasheet!B2:B210,"mi",datasheet!V2:V210,0)</f>
        <v>5</v>
      </c>
      <c r="G43">
        <f>COUNTIFS(datasheet!B2:B210,"fj",datasheet!V2:V210,0)</f>
        <v>0</v>
      </c>
      <c r="H43">
        <f>COUNTIFS(datasheet!B2:B210,"hi",datasheet!V2:V210,0)</f>
        <v>3</v>
      </c>
      <c r="I43">
        <f>COUNTIFS(datasheet!B2:B210,"fp",datasheet!V2:V210,0)</f>
        <v>6</v>
      </c>
      <c r="J43">
        <f t="shared" si="2"/>
        <v>56</v>
      </c>
      <c r="K43" s="17">
        <f t="shared" si="60"/>
        <v>0.23529411764705882</v>
      </c>
      <c r="L43" s="17">
        <f t="shared" si="61"/>
        <v>0.32727272727272727</v>
      </c>
      <c r="M43" s="17">
        <f t="shared" si="62"/>
        <v>0.34782608695652173</v>
      </c>
      <c r="N43" s="17">
        <f t="shared" si="63"/>
        <v>0.29411764705882354</v>
      </c>
      <c r="O43" s="17">
        <f t="shared" si="64"/>
        <v>0</v>
      </c>
      <c r="P43" s="17">
        <f t="shared" si="65"/>
        <v>0.2</v>
      </c>
      <c r="Q43" s="17">
        <f t="shared" si="66"/>
        <v>0.4</v>
      </c>
      <c r="R43" s="17">
        <f t="shared" si="67"/>
        <v>0.26794258373205743</v>
      </c>
    </row>
    <row r="44" spans="1:18" x14ac:dyDescent="0.35">
      <c r="B44" t="s">
        <v>221</v>
      </c>
      <c r="C44">
        <f>COUNTIFS(datasheet!B2:B210,"id",datasheet!V2:V210,1)</f>
        <v>32</v>
      </c>
      <c r="D44">
        <f>COUNTIFS(datasheet!B2:B210,"au",datasheet!V2:V210,1)</f>
        <v>24</v>
      </c>
      <c r="E44">
        <f>COUNTIFS(datasheet!B2:B210,"jp",datasheet!V2:V210,1)</f>
        <v>13</v>
      </c>
      <c r="F44">
        <f>COUNTIFS(datasheet!B2:B210,"mi",datasheet!V2:V210,1)</f>
        <v>10</v>
      </c>
      <c r="G44">
        <f>COUNTIFS(datasheet!B2:B210,"fj",datasheet!V2:V210,1)</f>
        <v>11</v>
      </c>
      <c r="H44">
        <f>COUNTIFS(datasheet!B2:B210,"hi",datasheet!V2:V210,1)</f>
        <v>10</v>
      </c>
      <c r="I44">
        <f>COUNTIFS(datasheet!B2:B210,"fp",datasheet!V2:V210,1)</f>
        <v>6</v>
      </c>
      <c r="J44">
        <f t="shared" si="2"/>
        <v>106</v>
      </c>
      <c r="K44" s="17">
        <f t="shared" si="60"/>
        <v>0.47058823529411764</v>
      </c>
      <c r="L44" s="17">
        <f t="shared" si="61"/>
        <v>0.43636363636363634</v>
      </c>
      <c r="M44" s="17">
        <f t="shared" si="62"/>
        <v>0.56521739130434778</v>
      </c>
      <c r="N44" s="17">
        <f t="shared" si="63"/>
        <v>0.58823529411764708</v>
      </c>
      <c r="O44" s="17">
        <f t="shared" si="64"/>
        <v>0.6875</v>
      </c>
      <c r="P44" s="17">
        <f t="shared" si="65"/>
        <v>0.66666666666666663</v>
      </c>
      <c r="Q44" s="17">
        <f t="shared" si="66"/>
        <v>0.4</v>
      </c>
      <c r="R44" s="17">
        <f t="shared" si="67"/>
        <v>0.50717703349282295</v>
      </c>
    </row>
    <row r="45" spans="1:18" x14ac:dyDescent="0.35">
      <c r="B45" t="s">
        <v>220</v>
      </c>
      <c r="C45">
        <f>COUNTIFS(datasheet!B2:B210,"id",datasheet!V2:V210,2)</f>
        <v>17</v>
      </c>
      <c r="D45">
        <f>COUNTIFS(datasheet!B2:B210,"au",datasheet!V2:V210,2)</f>
        <v>13</v>
      </c>
      <c r="E45">
        <f>COUNTIFS(datasheet!B2:B210,"jp",datasheet!V2:V210,2)</f>
        <v>2</v>
      </c>
      <c r="F45">
        <f>COUNTIFS(datasheet!B2:B210,"mi",datasheet!V2:V210,2)</f>
        <v>2</v>
      </c>
      <c r="G45">
        <f>COUNTIFS(datasheet!B2:B210,"fj",datasheet!V2:V210,2)</f>
        <v>5</v>
      </c>
      <c r="H45">
        <f>COUNTIFS(datasheet!B2:B210,"hi",datasheet!V2:V210,2)</f>
        <v>1</v>
      </c>
      <c r="I45">
        <f>COUNTIFS(datasheet!B2:B210,"fp",datasheet!V2:V210,2)</f>
        <v>3</v>
      </c>
      <c r="J45">
        <f t="shared" si="2"/>
        <v>43</v>
      </c>
      <c r="K45" s="17">
        <f t="shared" si="60"/>
        <v>0.25</v>
      </c>
      <c r="L45" s="17">
        <f t="shared" si="61"/>
        <v>0.23636363636363636</v>
      </c>
      <c r="M45" s="17">
        <f t="shared" si="62"/>
        <v>8.6956521739130432E-2</v>
      </c>
      <c r="N45" s="17">
        <f t="shared" si="63"/>
        <v>0.11764705882352941</v>
      </c>
      <c r="O45" s="17">
        <f t="shared" si="64"/>
        <v>0.3125</v>
      </c>
      <c r="P45" s="17">
        <f t="shared" si="65"/>
        <v>6.6666666666666666E-2</v>
      </c>
      <c r="Q45" s="17">
        <f t="shared" si="66"/>
        <v>0.2</v>
      </c>
      <c r="R45" s="17">
        <f t="shared" si="67"/>
        <v>0.20574162679425836</v>
      </c>
    </row>
    <row r="46" spans="1:18" x14ac:dyDescent="0.35">
      <c r="A46" t="s">
        <v>223</v>
      </c>
      <c r="B46" t="s">
        <v>216</v>
      </c>
      <c r="C46">
        <f>COUNTIFS(datasheet!B2:B210,"id",datasheet!X2:X210,0)</f>
        <v>54</v>
      </c>
      <c r="D46">
        <f>COUNTIFS(datasheet!B2:B210,"au",datasheet!X2:X210,0)</f>
        <v>40</v>
      </c>
      <c r="E46">
        <f>COUNTIFS(datasheet!B2:B210,"jp",datasheet!X2:X210,0)</f>
        <v>21</v>
      </c>
      <c r="F46">
        <f>COUNTIFS(datasheet!B2:B210,"mi",datasheet!X2:X210,0)</f>
        <v>11</v>
      </c>
      <c r="G46">
        <f>COUNTIFS(datasheet!B2:B210,"fj",datasheet!X2:X210,0)</f>
        <v>14</v>
      </c>
      <c r="H46">
        <f>COUNTIFS(datasheet!B2:B210,"hi",datasheet!X2:X210,0)</f>
        <v>13</v>
      </c>
      <c r="I46">
        <f>COUNTIFS(datasheet!B2:B210,"fp",datasheet!X2:X210,0)</f>
        <v>13</v>
      </c>
      <c r="J46">
        <f t="shared" si="2"/>
        <v>166</v>
      </c>
      <c r="K46" s="17">
        <f>C46/C$2</f>
        <v>0.79411764705882348</v>
      </c>
      <c r="L46" s="17">
        <f t="shared" ref="L46:L48" si="68">D46/D$2</f>
        <v>0.72727272727272729</v>
      </c>
      <c r="M46" s="17">
        <f t="shared" ref="M46:M48" si="69">E46/E$2</f>
        <v>0.91304347826086951</v>
      </c>
      <c r="N46" s="17">
        <f t="shared" ref="N46:N48" si="70">F46/F$2</f>
        <v>0.6470588235294118</v>
      </c>
      <c r="O46" s="17">
        <f t="shared" ref="O46:O48" si="71">G46/G$2</f>
        <v>0.875</v>
      </c>
      <c r="P46" s="17">
        <f>H46/H$2</f>
        <v>0.8666666666666667</v>
      </c>
      <c r="Q46" s="17">
        <f t="shared" ref="Q46:Q48" si="72">I46/I$2</f>
        <v>0.8666666666666667</v>
      </c>
      <c r="R46" s="17">
        <f t="shared" ref="R46:R48" si="73">J46/J$2</f>
        <v>0.79425837320574166</v>
      </c>
    </row>
    <row r="47" spans="1:18" x14ac:dyDescent="0.35">
      <c r="B47" t="s">
        <v>217</v>
      </c>
      <c r="C47">
        <f>COUNTIFS(datasheet!B2:B210,"id",datasheet!X2:X210,"&lt;0")</f>
        <v>6</v>
      </c>
      <c r="D47">
        <f>COUNTIFS(datasheet!B2:B210,"au",datasheet!X2:X210,"&lt;0")</f>
        <v>6</v>
      </c>
      <c r="E47">
        <f>COUNTIFS(datasheet!B2:B210,"jp",datasheet!X2:X210,"&lt;0")</f>
        <v>0</v>
      </c>
      <c r="F47">
        <f>COUNTIFS(datasheet!B2:B210,"mi",datasheet!X2:X210,"&lt;0")</f>
        <v>1</v>
      </c>
      <c r="G47">
        <f>COUNTIFS(datasheet!B2:B210,"fj",datasheet!X2:X210,"&lt;0")</f>
        <v>0</v>
      </c>
      <c r="H47">
        <f>COUNTIFS(datasheet!B2:B210,"hi",datasheet!X2:X210,"&lt;0")</f>
        <v>1</v>
      </c>
      <c r="I47">
        <f>COUNTIFS(datasheet!B2:B210,"fp",datasheet!X2:X210,"&lt;0")</f>
        <v>0</v>
      </c>
      <c r="J47">
        <f t="shared" si="2"/>
        <v>14</v>
      </c>
      <c r="K47" s="17">
        <f>C47/C$2</f>
        <v>8.8235294117647065E-2</v>
      </c>
      <c r="L47" s="17">
        <f t="shared" si="68"/>
        <v>0.10909090909090909</v>
      </c>
      <c r="M47" s="17">
        <f t="shared" si="69"/>
        <v>0</v>
      </c>
      <c r="N47" s="17">
        <f t="shared" si="70"/>
        <v>5.8823529411764705E-2</v>
      </c>
      <c r="O47" s="17">
        <f t="shared" si="71"/>
        <v>0</v>
      </c>
      <c r="P47" s="17">
        <f>H47/H$2</f>
        <v>6.6666666666666666E-2</v>
      </c>
      <c r="Q47" s="17">
        <f t="shared" si="72"/>
        <v>0</v>
      </c>
      <c r="R47" s="17">
        <f t="shared" si="73"/>
        <v>6.6985645933014357E-2</v>
      </c>
    </row>
    <row r="48" spans="1:18" x14ac:dyDescent="0.35">
      <c r="B48" t="s">
        <v>218</v>
      </c>
      <c r="C48">
        <f>COUNTIFS(datasheet!B2:B210,"id",datasheet!X2:X210,"&gt;0")</f>
        <v>7</v>
      </c>
      <c r="D48">
        <f>COUNTIFS(datasheet!B2:B210,"au",datasheet!X2:X210,"&gt;0")</f>
        <v>9</v>
      </c>
      <c r="E48">
        <f>COUNTIFS(datasheet!B2:B210,"jp",datasheet!X2:X210,"&gt;0")</f>
        <v>2</v>
      </c>
      <c r="F48">
        <f>COUNTIFS(datasheet!B2:B210,"mi",datasheet!X2:X210,"&gt;0")</f>
        <v>5</v>
      </c>
      <c r="G48">
        <f>COUNTIFS(datasheet!B2:B210,"fj",datasheet!X2:X210,"&gt;0")</f>
        <v>2</v>
      </c>
      <c r="H48">
        <f>COUNTIFS(datasheet!B2:B210,"hi",datasheet!X2:X210,"&gt;0")</f>
        <v>0</v>
      </c>
      <c r="I48">
        <f>COUNTIFS(datasheet!B2:B210,"fp",datasheet!X2:X210,"&gt;0")</f>
        <v>2</v>
      </c>
      <c r="J48">
        <f t="shared" si="2"/>
        <v>27</v>
      </c>
      <c r="K48" s="17">
        <f>C48/C$2</f>
        <v>0.10294117647058823</v>
      </c>
      <c r="L48" s="17">
        <f t="shared" si="68"/>
        <v>0.16363636363636364</v>
      </c>
      <c r="M48" s="17">
        <f t="shared" si="69"/>
        <v>8.6956521739130432E-2</v>
      </c>
      <c r="N48" s="17">
        <f t="shared" si="70"/>
        <v>0.29411764705882354</v>
      </c>
      <c r="O48" s="17">
        <f t="shared" si="71"/>
        <v>0.125</v>
      </c>
      <c r="P48" s="17">
        <f>H48/H$2</f>
        <v>0</v>
      </c>
      <c r="Q48" s="17">
        <f t="shared" si="72"/>
        <v>0.13333333333333333</v>
      </c>
      <c r="R48" s="17">
        <f t="shared" si="73"/>
        <v>0.12918660287081341</v>
      </c>
    </row>
    <row r="49" spans="1:18" x14ac:dyDescent="0.35">
      <c r="A49" t="s">
        <v>229</v>
      </c>
      <c r="B49" t="s">
        <v>224</v>
      </c>
      <c r="C49">
        <f>MEDIAN(IF(datasheet!B2:B210="id",datasheet!M2:M210))</f>
        <v>7</v>
      </c>
      <c r="D49">
        <f t="array" ref="D49">MEDIAN(IF(datasheet!B2:B210="au",datasheet!M2:M210))</f>
        <v>8</v>
      </c>
      <c r="E49">
        <f t="array" ref="E49">MEDIAN(IF(datasheet!B2:B210="jp",datasheet!M2:M210))</f>
        <v>7</v>
      </c>
      <c r="F49">
        <f t="array" ref="F49">MEDIAN(IF(datasheet!B2:B210="mi",datasheet!M2:M210))</f>
        <v>7</v>
      </c>
      <c r="G49">
        <f t="array" ref="G49">MEDIAN(IF(datasheet!B2:B210="fj",datasheet!M2:M210))</f>
        <v>8</v>
      </c>
      <c r="H49">
        <f t="array" ref="H49">MEDIAN(IF(datasheet!B2:B210="hi",datasheet!M2:M210))</f>
        <v>6</v>
      </c>
      <c r="I49">
        <f t="array" ref="I49">MEDIAN(IF(datasheet!B2:B210="fp",datasheet!M2:M210))</f>
        <v>8</v>
      </c>
      <c r="J49">
        <f>MEDIAN(datasheet!M2:M210)</f>
        <v>7</v>
      </c>
      <c r="R49" s="17"/>
    </row>
    <row r="50" spans="1:18" x14ac:dyDescent="0.35">
      <c r="B50" t="s">
        <v>225</v>
      </c>
      <c r="C50">
        <f t="array" ref="C50">MEDIAN(IF(datasheet!B2:B210="id",ABS(datasheet!M2:M210 - C49)))</f>
        <v>2</v>
      </c>
      <c r="D50">
        <f t="array" ref="D50">MEDIAN(IF(datasheet!B2:B210="au",ABS(datasheet!M2:M210 - D49)))</f>
        <v>1</v>
      </c>
      <c r="E50">
        <f t="array" ref="E50">MEDIAN(IF(datasheet!B2:B210="jp",ABS(datasheet!M2:M210 - E49)))</f>
        <v>1</v>
      </c>
      <c r="F50">
        <f t="array" ref="F50">MEDIAN(IF(datasheet!B2:B210="mi",ABS(datasheet!M2:M210 - F49)))</f>
        <v>1</v>
      </c>
      <c r="G50">
        <f t="array" ref="G50">MEDIAN(IF(datasheet!B2:B210="fj",ABS(datasheet!M2:M210 - G49)))</f>
        <v>1</v>
      </c>
      <c r="H50">
        <f t="array" ref="H50">MEDIAN(IF(datasheet!B2:B210="hi",ABS(datasheet!M2:M210 - H49)))</f>
        <v>1</v>
      </c>
      <c r="I50">
        <f t="array" ref="I50">MEDIAN(IF(datasheet!B2:B210="fp",ABS(datasheet!M2:M210 - I49)))</f>
        <v>1</v>
      </c>
      <c r="J50">
        <f t="array" ref="J50">MEDIAN(ABS(datasheet!M2:M210 - J49))</f>
        <v>2</v>
      </c>
      <c r="R50" s="17"/>
    </row>
    <row r="51" spans="1:18" x14ac:dyDescent="0.35">
      <c r="A51" t="s">
        <v>226</v>
      </c>
      <c r="B51" t="s">
        <v>216</v>
      </c>
      <c r="C51">
        <f>COUNTIFS(datasheet!B2:B210,"id",datasheet!O2:O210,0)</f>
        <v>40</v>
      </c>
      <c r="D51">
        <f>COUNTIFS(datasheet!B2:B210,"au",datasheet!O2:O210,0)</f>
        <v>28</v>
      </c>
      <c r="E51">
        <f>COUNTIFS(datasheet!B2:B210,"jp",datasheet!O2:O210,0)</f>
        <v>17</v>
      </c>
      <c r="F51">
        <f>COUNTIFS(datasheet!B2:B210,"mi",datasheet!O2:O210,0)</f>
        <v>9</v>
      </c>
      <c r="G51">
        <f>COUNTIFS(datasheet!B2:B210,"fj",datasheet!O2:O210,0)</f>
        <v>4</v>
      </c>
      <c r="H51">
        <f>COUNTIFS(datasheet!B2:B210,"hi",datasheet!O2:O210,0)</f>
        <v>9</v>
      </c>
      <c r="I51">
        <f>COUNTIFS(datasheet!B2:B210,"fp",datasheet!O2:O210,0)</f>
        <v>7</v>
      </c>
      <c r="J51">
        <f>COUNTIFS(datasheet!O2:O210,0)</f>
        <v>114</v>
      </c>
      <c r="K51" s="17">
        <f>C51/C$2</f>
        <v>0.58823529411764708</v>
      </c>
      <c r="L51" s="17">
        <f t="shared" ref="L51:L53" si="74">D51/D$2</f>
        <v>0.50909090909090904</v>
      </c>
      <c r="M51" s="17">
        <f t="shared" ref="M51:M53" si="75">E51/E$2</f>
        <v>0.73913043478260865</v>
      </c>
      <c r="N51" s="17">
        <f t="shared" ref="N51:N53" si="76">F51/F$2</f>
        <v>0.52941176470588236</v>
      </c>
      <c r="O51" s="17">
        <f t="shared" ref="O51:O53" si="77">G51/G$2</f>
        <v>0.25</v>
      </c>
      <c r="P51" s="17">
        <f t="shared" ref="P51:P53" si="78">H51/H$2</f>
        <v>0.6</v>
      </c>
      <c r="Q51" s="17">
        <f t="shared" ref="Q51:Q53" si="79">I51/I$2</f>
        <v>0.46666666666666667</v>
      </c>
      <c r="R51" s="17">
        <f t="shared" ref="R51:R53" si="80">J51/J$2</f>
        <v>0.54545454545454541</v>
      </c>
    </row>
    <row r="52" spans="1:18" x14ac:dyDescent="0.35">
      <c r="B52" t="s">
        <v>217</v>
      </c>
      <c r="C52">
        <f>COUNTIFS(datasheet!B2:B210,"id",datasheet!O2:O210,"&lt;0")</f>
        <v>24</v>
      </c>
      <c r="D52">
        <f>COUNTIFS(datasheet!B2:B210,"au",datasheet!O2:O210,"&lt;0")</f>
        <v>26</v>
      </c>
      <c r="E52">
        <f>COUNTIFS(datasheet!B2:B210,"jp",datasheet!O2:O210,"&lt;0")</f>
        <v>5</v>
      </c>
      <c r="F52">
        <f>COUNTIFS(datasheet!B2:B210,"mi",datasheet!O2:O210,"&lt;0")</f>
        <v>8</v>
      </c>
      <c r="G52">
        <f>COUNTIFS(datasheet!B2:B210,"fj",datasheet!O2:O210,"&lt;0")</f>
        <v>11</v>
      </c>
      <c r="H52">
        <f>COUNTIFS(datasheet!B2:B210,"hi",datasheet!O2:O210,"&lt;0")</f>
        <v>5</v>
      </c>
      <c r="I52">
        <f>COUNTIFS(datasheet!B2:B210,"fp",datasheet!O2:O210,"&lt;0")</f>
        <v>8</v>
      </c>
      <c r="J52">
        <f>COUNTIFS(datasheet!O2:O210,"&lt;0")</f>
        <v>87</v>
      </c>
      <c r="K52" s="17">
        <f>C52/C$2</f>
        <v>0.35294117647058826</v>
      </c>
      <c r="L52" s="17">
        <f t="shared" si="74"/>
        <v>0.47272727272727272</v>
      </c>
      <c r="M52" s="17">
        <f t="shared" si="75"/>
        <v>0.21739130434782608</v>
      </c>
      <c r="N52" s="17">
        <f t="shared" si="76"/>
        <v>0.47058823529411764</v>
      </c>
      <c r="O52" s="17">
        <f t="shared" si="77"/>
        <v>0.6875</v>
      </c>
      <c r="P52" s="17">
        <f t="shared" si="78"/>
        <v>0.33333333333333331</v>
      </c>
      <c r="Q52" s="17">
        <f t="shared" si="79"/>
        <v>0.53333333333333333</v>
      </c>
      <c r="R52" s="17">
        <f t="shared" si="80"/>
        <v>0.41626794258373206</v>
      </c>
    </row>
    <row r="53" spans="1:18" x14ac:dyDescent="0.35">
      <c r="B53" t="s">
        <v>218</v>
      </c>
      <c r="C53">
        <f>COUNTIFS(datasheet!B2:B210,"id",datasheet!O2:O210,"&gt;0")</f>
        <v>3</v>
      </c>
      <c r="D53">
        <f>COUNTIFS(datasheet!B2:B210,"au",datasheet!O2:O210,"&gt;0")</f>
        <v>1</v>
      </c>
      <c r="E53">
        <f>COUNTIFS(datasheet!B2:B210,"jp",datasheet!O2:O210,"&gt;0")</f>
        <v>1</v>
      </c>
      <c r="F53">
        <f>COUNTIFS(datasheet!B2:B210,"mi",datasheet!O2:O210,"&gt;0")</f>
        <v>0</v>
      </c>
      <c r="G53">
        <f>COUNTIFS(datasheet!B2:B210,"fj",datasheet!O2:O210,"&gt;0")</f>
        <v>1</v>
      </c>
      <c r="H53">
        <f>COUNTIFS(datasheet!B2:B210,"hi",datasheet!O2:O210,"&gt;0")</f>
        <v>1</v>
      </c>
      <c r="I53">
        <f>COUNTIFS(datasheet!B2:B210,"fp",datasheet!O2:O210,"&gt;0")</f>
        <v>0</v>
      </c>
      <c r="J53">
        <f>COUNTIFS(datasheet!O2:O210,"&gt;0")</f>
        <v>7</v>
      </c>
      <c r="K53" s="17">
        <f>C53/C$2</f>
        <v>4.4117647058823532E-2</v>
      </c>
      <c r="L53" s="17">
        <f t="shared" si="74"/>
        <v>1.8181818181818181E-2</v>
      </c>
      <c r="M53" s="17">
        <f t="shared" si="75"/>
        <v>4.3478260869565216E-2</v>
      </c>
      <c r="N53" s="17">
        <f t="shared" si="76"/>
        <v>0</v>
      </c>
      <c r="O53" s="17">
        <f t="shared" si="77"/>
        <v>6.25E-2</v>
      </c>
      <c r="P53" s="17">
        <f t="shared" si="78"/>
        <v>6.6666666666666666E-2</v>
      </c>
      <c r="Q53" s="17">
        <f t="shared" si="79"/>
        <v>0</v>
      </c>
      <c r="R53" s="17">
        <f t="shared" si="80"/>
        <v>3.3492822966507178E-2</v>
      </c>
    </row>
    <row r="54" spans="1:18" x14ac:dyDescent="0.35">
      <c r="A54" t="s">
        <v>228</v>
      </c>
      <c r="B54" t="s">
        <v>224</v>
      </c>
      <c r="C54">
        <f t="array" ref="C54">MEDIAN(IF(datasheet!B2:B210="id",datasheet!J2:J210))</f>
        <v>3</v>
      </c>
      <c r="D54">
        <f t="array" ref="D54">MEDIAN(IF(datasheet!B2:B210="au",datasheet!J2:J210))</f>
        <v>4</v>
      </c>
      <c r="E54">
        <f t="array" ref="E54">MEDIAN(IF(datasheet!B2:B210="jp",datasheet!J2:J210))</f>
        <v>3</v>
      </c>
      <c r="F54">
        <f t="array" ref="F54">MEDIAN(IF(datasheet!B2:B210="mi",datasheet!J2:J210))</f>
        <v>3</v>
      </c>
      <c r="G54">
        <f t="array" ref="G54">MEDIAN(IF(datasheet!B2:B210="fj",datasheet!J2:J210))</f>
        <v>4</v>
      </c>
      <c r="H54">
        <f t="array" ref="H54">MEDIAN(IF(datasheet!B2:B210="hi",datasheet!J2:J210))</f>
        <v>4</v>
      </c>
      <c r="I54">
        <f t="array" ref="I54">MEDIAN(IF(datasheet!B2:B210="fp",datasheet!J2:J210))</f>
        <v>3</v>
      </c>
      <c r="J54" s="2">
        <f>MEDIAN(datasheet!J2:J210)</f>
        <v>4</v>
      </c>
    </row>
    <row r="55" spans="1:18" x14ac:dyDescent="0.35">
      <c r="B55" t="s">
        <v>225</v>
      </c>
      <c r="C55">
        <f t="array" ref="C55">MEDIAN(IF(datasheet!B2:B210="id",ABS(datasheet!J2:J210 - C54)))</f>
        <v>1</v>
      </c>
      <c r="D55">
        <f t="array" ref="D55">MEDIAN(IF(datasheet!B2:B210="au",ABS(datasheet!J2:J210 - D54)))</f>
        <v>1</v>
      </c>
      <c r="E55">
        <f t="array" ref="E55">MEDIAN(IF(datasheet!B2:B210="jp",ABS(datasheet!J2:J210 - E54)))</f>
        <v>1</v>
      </c>
      <c r="F55">
        <f>MEDIAN(IF(datasheet!B2:B210="mi",ABS(datasheet!J2:J210 - F54)))</f>
        <v>1</v>
      </c>
      <c r="G55">
        <f t="array" ref="G55">MEDIAN(IF(datasheet!B2:B210="fj",ABS(datasheet!J2:J210 - G54)))</f>
        <v>2</v>
      </c>
      <c r="H55">
        <f t="array" ref="H55">MEDIAN(IF(datasheet!B2:B210="hi",ABS(datasheet!J2:J210 - H54)))</f>
        <v>1</v>
      </c>
      <c r="I55">
        <f t="array" ref="I55">MEDIAN(IF(datasheet!B2:B210="fp",ABS(datasheet!J2:J210 - I54)))</f>
        <v>1</v>
      </c>
      <c r="J55">
        <f t="array" ref="J55">MEDIAN(ABS(datasheet!J2:J210 - J54))</f>
        <v>1</v>
      </c>
    </row>
    <row r="56" spans="1:18" x14ac:dyDescent="0.35">
      <c r="A56" t="s">
        <v>227</v>
      </c>
      <c r="B56" t="s">
        <v>216</v>
      </c>
      <c r="C56">
        <f>COUNTIFS(datasheet!B2:B210,"id",datasheet!L2:L210,0)</f>
        <v>51</v>
      </c>
      <c r="D56">
        <f>COUNTIFS(datasheet!B2:B210,"au",datasheet!L2:L210,0)</f>
        <v>36</v>
      </c>
      <c r="E56">
        <f>COUNTIFS(datasheet!B2:B210,"jp",datasheet!L2:L210,0)</f>
        <v>22</v>
      </c>
      <c r="F56">
        <f>COUNTIFS(datasheet!B2:B210,"mi",datasheet!L2:L210,0)</f>
        <v>10</v>
      </c>
      <c r="G56">
        <f>COUNTIFS(datasheet!B2:B210,"fj",datasheet!L2:L210,0)</f>
        <v>10</v>
      </c>
      <c r="H56">
        <f>COUNTIFS(datasheet!B2:B210,"hi",datasheet!L2:L210,0)</f>
        <v>11</v>
      </c>
      <c r="I56">
        <f>COUNTIFS(datasheet!B2:B210,"fp",datasheet!L2:L210,0)</f>
        <v>12</v>
      </c>
      <c r="J56">
        <f>COUNTIFS(datasheet!L2:L210,0)</f>
        <v>152</v>
      </c>
      <c r="K56" s="17">
        <f t="shared" ref="K56:K58" si="81">C56/C$2</f>
        <v>0.75</v>
      </c>
      <c r="L56" s="17">
        <f t="shared" ref="L56:L58" si="82">D56/D$2</f>
        <v>0.65454545454545454</v>
      </c>
      <c r="M56" s="17">
        <f t="shared" ref="M56:M58" si="83">E56/E$2</f>
        <v>0.95652173913043481</v>
      </c>
      <c r="N56" s="17">
        <f t="shared" ref="N56:N58" si="84">F56/F$2</f>
        <v>0.58823529411764708</v>
      </c>
      <c r="O56" s="17">
        <f t="shared" ref="O56:O58" si="85">G56/G$2</f>
        <v>0.625</v>
      </c>
      <c r="P56" s="17">
        <f t="shared" ref="P56:P58" si="86">H56/H$2</f>
        <v>0.73333333333333328</v>
      </c>
      <c r="Q56" s="17">
        <f t="shared" ref="Q56:Q58" si="87">I56/I$2</f>
        <v>0.8</v>
      </c>
      <c r="R56" s="17">
        <f t="shared" ref="R56:R58" si="88">J56/J$2</f>
        <v>0.72727272727272729</v>
      </c>
    </row>
    <row r="57" spans="1:18" x14ac:dyDescent="0.35">
      <c r="B57" t="s">
        <v>217</v>
      </c>
      <c r="C57">
        <f>COUNTIFS(datasheet!B2:B210,"id",datasheet!L2:L210,"&lt;0")</f>
        <v>4</v>
      </c>
      <c r="D57">
        <f>COUNTIFS(datasheet!B2:B210,"au",datasheet!L2:L210,"&lt;0")</f>
        <v>12</v>
      </c>
      <c r="E57">
        <f>COUNTIFS(datasheet!B2:B210,"jp",datasheet!L2:L210,"&lt;0")</f>
        <v>0</v>
      </c>
      <c r="F57">
        <f>COUNTIFS(datasheet!B2:B210,"mi",datasheet!L2:L210,"&lt;0")</f>
        <v>4</v>
      </c>
      <c r="G57">
        <f>COUNTIFS(datasheet!B2:B210,"fj",datasheet!L2:L210,"&lt;0")</f>
        <v>6</v>
      </c>
      <c r="H57">
        <f>COUNTIFS(datasheet!B2:B210,"hi",datasheet!L2:L210,"&lt;0")</f>
        <v>3</v>
      </c>
      <c r="I57">
        <f>COUNTIFS(datasheet!B2:B210,"fp",datasheet!L2:L210,"&lt;0")</f>
        <v>2</v>
      </c>
      <c r="J57">
        <f>COUNTIFS(datasheet!L2:L210,"&lt;0")</f>
        <v>31</v>
      </c>
      <c r="K57" s="17">
        <f t="shared" si="81"/>
        <v>5.8823529411764705E-2</v>
      </c>
      <c r="L57" s="17">
        <f t="shared" si="82"/>
        <v>0.21818181818181817</v>
      </c>
      <c r="M57" s="17">
        <f t="shared" si="83"/>
        <v>0</v>
      </c>
      <c r="N57" s="17">
        <f t="shared" si="84"/>
        <v>0.23529411764705882</v>
      </c>
      <c r="O57" s="17">
        <f t="shared" si="85"/>
        <v>0.375</v>
      </c>
      <c r="P57" s="17">
        <f t="shared" si="86"/>
        <v>0.2</v>
      </c>
      <c r="Q57" s="17">
        <f t="shared" si="87"/>
        <v>0.13333333333333333</v>
      </c>
      <c r="R57" s="17">
        <f t="shared" si="88"/>
        <v>0.14832535885167464</v>
      </c>
    </row>
    <row r="58" spans="1:18" x14ac:dyDescent="0.35">
      <c r="B58" t="s">
        <v>218</v>
      </c>
      <c r="C58">
        <f>COUNTIFS(datasheet!B2:B210,"id",datasheet!L2:L210,"&gt;0")</f>
        <v>13</v>
      </c>
      <c r="D58">
        <f>COUNTIFS(datasheet!B2:B210,"au",datasheet!L2:L210,"&gt;0")</f>
        <v>7</v>
      </c>
      <c r="E58">
        <f>COUNTIFS(datasheet!B2:B210,"jp",datasheet!L2:L210,"&gt;0")</f>
        <v>1</v>
      </c>
      <c r="F58">
        <f>COUNTIFS(datasheet!B2:B210,"mi",datasheet!L2:L210,"&gt;0")</f>
        <v>3</v>
      </c>
      <c r="G58">
        <f>COUNTIFS(datasheet!B2:B210,"fj",datasheet!L2:L210,"&gt;0")</f>
        <v>0</v>
      </c>
      <c r="H58">
        <f>COUNTIFS(datasheet!B2:B210,"hi",datasheet!L2:L210,"&gt;0")</f>
        <v>1</v>
      </c>
      <c r="I58">
        <f>COUNTIFS(datasheet!B2:B210,"fp",datasheet!L2:L210,"&gt;0")</f>
        <v>1</v>
      </c>
      <c r="J58">
        <f>COUNTIFS(datasheet!L2:L210,"&gt;0")</f>
        <v>26</v>
      </c>
      <c r="K58" s="17">
        <f t="shared" si="81"/>
        <v>0.19117647058823528</v>
      </c>
      <c r="L58" s="17">
        <f t="shared" si="82"/>
        <v>0.12727272727272726</v>
      </c>
      <c r="M58" s="17">
        <f t="shared" si="83"/>
        <v>4.3478260869565216E-2</v>
      </c>
      <c r="N58" s="17">
        <f t="shared" si="84"/>
        <v>0.17647058823529413</v>
      </c>
      <c r="O58" s="17">
        <f t="shared" si="85"/>
        <v>0</v>
      </c>
      <c r="P58" s="17">
        <f t="shared" si="86"/>
        <v>6.6666666666666666E-2</v>
      </c>
      <c r="Q58" s="17">
        <f t="shared" si="87"/>
        <v>6.6666666666666666E-2</v>
      </c>
      <c r="R58" s="17">
        <f t="shared" si="88"/>
        <v>0.12440191387559808</v>
      </c>
    </row>
    <row r="59" spans="1:18" x14ac:dyDescent="0.35">
      <c r="A59" t="s">
        <v>233</v>
      </c>
      <c r="B59" t="s">
        <v>230</v>
      </c>
      <c r="C59">
        <f>COUNTIFS(datasheet!B2:B210,"id",datasheet!P2:P210,1)</f>
        <v>16</v>
      </c>
      <c r="D59">
        <f>COUNTIFS(datasheet!B2:B210,"au",datasheet!P2:P210,1)</f>
        <v>11</v>
      </c>
      <c r="E59">
        <f>COUNTIFS(datasheet!B2:B210,"jp",datasheet!P2:P210,1)</f>
        <v>10</v>
      </c>
      <c r="F59">
        <f>COUNTIFS(datasheet!B2:B210,"mi",datasheet!P2:P210,1)</f>
        <v>10</v>
      </c>
      <c r="G59">
        <f>COUNTIFS(datasheet!B2:B210,"fj",datasheet!P2:P210,1)</f>
        <v>8</v>
      </c>
      <c r="H59">
        <f>COUNTIFS(datasheet!B2:B210,"hi",datasheet!P2:P210,1)</f>
        <v>2</v>
      </c>
      <c r="I59">
        <f>COUNTIFS(datasheet!B2:B210,"fp",datasheet!P2:P210,1)</f>
        <v>9</v>
      </c>
      <c r="J59">
        <f t="shared" ref="J59:J64" si="89">SUM(C59:I59)</f>
        <v>66</v>
      </c>
      <c r="K59" s="17">
        <f t="shared" ref="K59:K61" si="90">C59/C$2</f>
        <v>0.23529411764705882</v>
      </c>
      <c r="L59" s="17">
        <f t="shared" ref="L59:L61" si="91">D59/D$2</f>
        <v>0.2</v>
      </c>
      <c r="M59" s="17">
        <f t="shared" ref="M59:M61" si="92">E59/E$2</f>
        <v>0.43478260869565216</v>
      </c>
      <c r="N59" s="17">
        <f t="shared" ref="N59:N61" si="93">F59/F$2</f>
        <v>0.58823529411764708</v>
      </c>
      <c r="O59" s="17">
        <f t="shared" ref="O59:O61" si="94">G59/G$2</f>
        <v>0.5</v>
      </c>
      <c r="P59" s="17">
        <f t="shared" ref="P59:P61" si="95">H59/H$2</f>
        <v>0.13333333333333333</v>
      </c>
      <c r="Q59" s="17">
        <f t="shared" ref="Q59:Q61" si="96">I59/I$2</f>
        <v>0.6</v>
      </c>
      <c r="R59" s="17">
        <f t="shared" ref="R59:R61" si="97">J59/J$2</f>
        <v>0.31578947368421051</v>
      </c>
    </row>
    <row r="60" spans="1:18" x14ac:dyDescent="0.35">
      <c r="B60" t="s">
        <v>231</v>
      </c>
      <c r="C60">
        <f>COUNTIFS(datasheet!B2:B210,"id",datasheet!P2:P210,2)</f>
        <v>30</v>
      </c>
      <c r="D60">
        <f>COUNTIFS(datasheet!B2:B210,"au",datasheet!P2:P210,2)</f>
        <v>24</v>
      </c>
      <c r="E60">
        <f>COUNTIFS(datasheet!B2:B210,"jp",datasheet!P2:P210,2)</f>
        <v>7</v>
      </c>
      <c r="F60">
        <f>COUNTIFS(datasheet!B2:B210,"mi",datasheet!P2:P210,2)</f>
        <v>5</v>
      </c>
      <c r="G60">
        <f>COUNTIFS(datasheet!B2:B210,"fj",datasheet!P2:P210,2)</f>
        <v>4</v>
      </c>
      <c r="H60">
        <f>COUNTIFS(datasheet!B2:B210,"hi",datasheet!P2:P210,2)</f>
        <v>7</v>
      </c>
      <c r="I60">
        <f>COUNTIFS(datasheet!B2:B210,"fp",datasheet!P2:P210,2)</f>
        <v>2</v>
      </c>
      <c r="J60">
        <f t="shared" si="89"/>
        <v>79</v>
      </c>
      <c r="K60" s="17">
        <f t="shared" si="90"/>
        <v>0.44117647058823528</v>
      </c>
      <c r="L60" s="17">
        <f t="shared" si="91"/>
        <v>0.43636363636363634</v>
      </c>
      <c r="M60" s="17">
        <f t="shared" si="92"/>
        <v>0.30434782608695654</v>
      </c>
      <c r="N60" s="17">
        <f t="shared" si="93"/>
        <v>0.29411764705882354</v>
      </c>
      <c r="O60" s="17">
        <f t="shared" si="94"/>
        <v>0.25</v>
      </c>
      <c r="P60" s="17">
        <f t="shared" si="95"/>
        <v>0.46666666666666667</v>
      </c>
      <c r="Q60" s="17">
        <f t="shared" si="96"/>
        <v>0.13333333333333333</v>
      </c>
      <c r="R60" s="17">
        <f t="shared" si="97"/>
        <v>0.37799043062200954</v>
      </c>
    </row>
    <row r="61" spans="1:18" x14ac:dyDescent="0.35">
      <c r="B61" t="s">
        <v>232</v>
      </c>
      <c r="C61">
        <f>COUNTIFS(datasheet!B2:B210,"id",datasheet!P2:P210,3)</f>
        <v>22</v>
      </c>
      <c r="D61">
        <f>COUNTIFS(datasheet!B2:B210,"au",datasheet!P2:P210,3)</f>
        <v>20</v>
      </c>
      <c r="E61">
        <f>COUNTIFS(datasheet!B2:B210,"jp",datasheet!P2:P210,3)</f>
        <v>5</v>
      </c>
      <c r="F61">
        <f>COUNTIFS(datasheet!B2:B210,"mi",datasheet!P2:P210,3)</f>
        <v>2</v>
      </c>
      <c r="G61">
        <f>COUNTIFS(datasheet!B2:B210,"fj",datasheet!P2:P210,3)</f>
        <v>4</v>
      </c>
      <c r="H61">
        <f>COUNTIFS(datasheet!B2:B210,"hi",datasheet!P2:P210,3)</f>
        <v>6</v>
      </c>
      <c r="I61">
        <f>COUNTIFS(datasheet!B2:B210,"fp",datasheet!P2:P210,3)</f>
        <v>4</v>
      </c>
      <c r="J61">
        <f t="shared" si="89"/>
        <v>63</v>
      </c>
      <c r="K61" s="17">
        <f t="shared" si="90"/>
        <v>0.3235294117647059</v>
      </c>
      <c r="L61" s="17">
        <f t="shared" si="91"/>
        <v>0.36363636363636365</v>
      </c>
      <c r="M61" s="17">
        <f t="shared" si="92"/>
        <v>0.21739130434782608</v>
      </c>
      <c r="N61" s="17">
        <f t="shared" si="93"/>
        <v>0.11764705882352941</v>
      </c>
      <c r="O61" s="17">
        <f t="shared" si="94"/>
        <v>0.25</v>
      </c>
      <c r="P61" s="17">
        <f t="shared" si="95"/>
        <v>0.4</v>
      </c>
      <c r="Q61" s="17">
        <f t="shared" si="96"/>
        <v>0.26666666666666666</v>
      </c>
      <c r="R61" s="17">
        <f t="shared" si="97"/>
        <v>0.30143540669856461</v>
      </c>
    </row>
    <row r="62" spans="1:18" x14ac:dyDescent="0.35">
      <c r="A62" t="s">
        <v>234</v>
      </c>
      <c r="B62" t="s">
        <v>216</v>
      </c>
      <c r="C62">
        <f>COUNTIFS(datasheet!B2:B210,"id",datasheet!R2:R210,0)</f>
        <v>65</v>
      </c>
      <c r="D62">
        <f>COUNTIFS(datasheet!B2:B210,"au",datasheet!R2:R210,0)</f>
        <v>53</v>
      </c>
      <c r="E62">
        <f>COUNTIFS(datasheet!B2:B210,"jp",datasheet!R2:R210,0)</f>
        <v>22</v>
      </c>
      <c r="F62">
        <f>COUNTIFS(datasheet!B2:B210,"mi",datasheet!R2:R210,0)</f>
        <v>16</v>
      </c>
      <c r="G62">
        <f>COUNTIFS(datasheet!B2:B210,"fj",datasheet!R2:R210,0)</f>
        <v>15</v>
      </c>
      <c r="H62">
        <f>COUNTIFS(datasheet!B2:B210,"hi",datasheet!R2:R210,0)</f>
        <v>15</v>
      </c>
      <c r="I62">
        <f>COUNTIFS(datasheet!B2:B210,"fp",datasheet!R2:R210,0)</f>
        <v>14</v>
      </c>
      <c r="J62">
        <f t="shared" si="89"/>
        <v>200</v>
      </c>
      <c r="K62" s="17">
        <f t="shared" ref="K62:K63" si="98">C62/C$2</f>
        <v>0.95588235294117652</v>
      </c>
      <c r="L62" s="17">
        <f t="shared" ref="L62:L63" si="99">D62/D$2</f>
        <v>0.96363636363636362</v>
      </c>
      <c r="M62" s="17">
        <f>E62/E$2</f>
        <v>0.95652173913043481</v>
      </c>
      <c r="N62" s="17">
        <f t="shared" ref="N62:N63" si="100">F62/F$2</f>
        <v>0.94117647058823528</v>
      </c>
      <c r="O62" s="17">
        <f t="shared" ref="O62:O63" si="101">G62/G$2</f>
        <v>0.9375</v>
      </c>
      <c r="P62" s="17">
        <f t="shared" ref="P62:P63" si="102">H62/H$2</f>
        <v>1</v>
      </c>
      <c r="Q62" s="17">
        <f t="shared" ref="Q62:Q63" si="103">I62/I$2</f>
        <v>0.93333333333333335</v>
      </c>
      <c r="R62" s="17">
        <f t="shared" ref="R62:R63" si="104">J62/J$2</f>
        <v>0.9569377990430622</v>
      </c>
    </row>
    <row r="63" spans="1:18" x14ac:dyDescent="0.35">
      <c r="B63" t="s">
        <v>217</v>
      </c>
      <c r="C63">
        <f>COUNTIFS(datasheet!B2:B210,"id",datasheet!R2:R210,"&lt;0")</f>
        <v>1</v>
      </c>
      <c r="D63">
        <f>COUNTIFS(datasheet!B2:B210,"au",datasheet!R2:R210,"&lt;0")</f>
        <v>1</v>
      </c>
      <c r="E63">
        <f>COUNTIFS(datasheet!B2:B210,"jp",datasheet!R2:R210,"&lt;0")</f>
        <v>0</v>
      </c>
      <c r="F63">
        <f>COUNTIFS(datasheet!B2:B210,"mi",datasheet!R2:R210,"&lt;0")</f>
        <v>0</v>
      </c>
      <c r="G63">
        <f>COUNTIFS(datasheet!B2:B210,"fj",datasheet!R2:R210,"&lt;0")</f>
        <v>0</v>
      </c>
      <c r="H63">
        <f>COUNTIFS(datasheet!B2:B210,"hi",datasheet!R2:R210,"&lt;0")</f>
        <v>0</v>
      </c>
      <c r="I63">
        <f>COUNTIFS(datasheet!B2:B210,"fp",datasheet!R2:R210,"&lt;0")</f>
        <v>0</v>
      </c>
      <c r="J63">
        <f t="shared" si="89"/>
        <v>2</v>
      </c>
      <c r="K63" s="17">
        <f t="shared" si="98"/>
        <v>1.4705882352941176E-2</v>
      </c>
      <c r="L63" s="17">
        <f t="shared" si="99"/>
        <v>1.8181818181818181E-2</v>
      </c>
      <c r="M63" s="17">
        <f>E63/E$2</f>
        <v>0</v>
      </c>
      <c r="N63" s="17">
        <f t="shared" si="100"/>
        <v>0</v>
      </c>
      <c r="O63" s="17">
        <f t="shared" si="101"/>
        <v>0</v>
      </c>
      <c r="P63" s="17">
        <f t="shared" si="102"/>
        <v>0</v>
      </c>
      <c r="Q63" s="17">
        <f t="shared" si="103"/>
        <v>0</v>
      </c>
      <c r="R63" s="17">
        <f t="shared" si="104"/>
        <v>9.5693779904306216E-3</v>
      </c>
    </row>
    <row r="64" spans="1:18" x14ac:dyDescent="0.35">
      <c r="B64" t="s">
        <v>218</v>
      </c>
      <c r="C64">
        <f>COUNTIFS(datasheet!B2:B210,"id",datasheet!R2:R210,"&gt;0")</f>
        <v>2</v>
      </c>
      <c r="D64">
        <f>COUNTIFS(datasheet!B2:B210,"au",datasheet!R2:R210,"&gt;0")</f>
        <v>1</v>
      </c>
      <c r="E64">
        <f>COUNTIFS(datasheet!B2:B210,"jp",datasheet!R2:R210,"&gt;0")</f>
        <v>0</v>
      </c>
      <c r="F64">
        <f>COUNTIFS(datasheet!B2:B210,"mi",datasheet!R2:R210,"&gt;0")</f>
        <v>1</v>
      </c>
      <c r="G64">
        <f>COUNTIFS(datasheet!B2:B210,"fj",datasheet!R2:R210,"&gt;0")</f>
        <v>1</v>
      </c>
      <c r="H64">
        <f>COUNTIFS(datasheet!B2:B210,"hi",datasheet!R2:R210,"&gt;0")</f>
        <v>0</v>
      </c>
      <c r="I64">
        <f>COUNTIFS(datasheet!B2:B210,"fp",datasheet!R2:R210,"&gt;0")</f>
        <v>1</v>
      </c>
      <c r="J64">
        <f t="shared" si="89"/>
        <v>6</v>
      </c>
      <c r="K64" s="17">
        <f t="shared" ref="K64" si="105">C64/C$2</f>
        <v>2.9411764705882353E-2</v>
      </c>
      <c r="L64" s="17">
        <f t="shared" ref="L64" si="106">D64/D$2</f>
        <v>1.8181818181818181E-2</v>
      </c>
      <c r="M64" s="17">
        <f>E64/E$2</f>
        <v>0</v>
      </c>
      <c r="N64" s="17">
        <f t="shared" ref="N64" si="107">F64/F$2</f>
        <v>5.8823529411764705E-2</v>
      </c>
      <c r="O64" s="17">
        <f t="shared" ref="O64" si="108">G64/G$2</f>
        <v>6.25E-2</v>
      </c>
      <c r="P64" s="17">
        <f t="shared" ref="P64" si="109">H64/H$2</f>
        <v>0</v>
      </c>
      <c r="Q64" s="17">
        <f t="shared" ref="Q64" si="110">I64/I$2</f>
        <v>6.6666666666666666E-2</v>
      </c>
      <c r="R64" s="17">
        <f t="shared" ref="R64" si="111">J64/J$2</f>
        <v>2.8708133971291867E-2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17A21884C7904D94FAE8E78F6791C9" ma:contentTypeVersion="14" ma:contentTypeDescription="Create a new document." ma:contentTypeScope="" ma:versionID="c8f0ea01bae9bbbcf3e04c78f0d3bfb1">
  <xsd:schema xmlns:xsd="http://www.w3.org/2001/XMLSchema" xmlns:xs="http://www.w3.org/2001/XMLSchema" xmlns:p="http://schemas.microsoft.com/office/2006/metadata/properties" xmlns:ns3="2b7eb747-fbb4-4328-b123-7b92e8430e97" xmlns:ns4="c8f38e00-0858-4873-9dd9-b62711104405" targetNamespace="http://schemas.microsoft.com/office/2006/metadata/properties" ma:root="true" ma:fieldsID="27e4ba63324dd816881ea373476538be" ns3:_="" ns4:_="">
    <xsd:import namespace="2b7eb747-fbb4-4328-b123-7b92e8430e97"/>
    <xsd:import namespace="c8f38e00-0858-4873-9dd9-b6271110440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eb747-fbb4-4328-b123-7b92e8430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f38e00-0858-4873-9dd9-b6271110440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C2B8D-9853-4078-B2BD-FD449549CE0B}">
  <ds:schemaRefs>
    <ds:schemaRef ds:uri="http://schemas.microsoft.com/sharepoint/v3/contenttype/forms"/>
  </ds:schemaRefs>
</ds:datastoreItem>
</file>

<file path=customXml/itemProps2.xml><?xml version="1.0" encoding="utf-8"?>
<ds:datastoreItem xmlns:ds="http://schemas.openxmlformats.org/officeDocument/2006/customXml" ds:itemID="{3DE72FF9-3F36-4C83-B74D-E410CDCD09A9}">
  <ds:schemaRefs>
    <ds:schemaRef ds:uri="http://purl.org/dc/terms/"/>
    <ds:schemaRef ds:uri="2b7eb747-fbb4-4328-b123-7b92e8430e97"/>
    <ds:schemaRef ds:uri="http://purl.org/dc/dcmitype/"/>
    <ds:schemaRef ds:uri="http://schemas.microsoft.com/office/infopath/2007/PartnerControls"/>
    <ds:schemaRef ds:uri="c8f38e00-0858-4873-9dd9-b62711104405"/>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F1A4A5D-06F4-4C5E-A0D3-D878133AC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7eb747-fbb4-4328-b123-7b92e8430e97"/>
    <ds:schemaRef ds:uri="c8f38e00-0858-4873-9dd9-b627111044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codesheet</vt:lpstr>
      <vt:lpstr>datasheet</vt:lpstr>
      <vt:lpstr>sample decription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2023-02-07T00:44:12Z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0x010100C517A21884C7904D94FAE8E78F6791C9</vt:lpwstr>
  </property>
</Properties>
</file>