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6" documentId="13_ncr:1_{7FB71B08-CA03-45F0-9AF9-5AB2BBDC211B}" xr6:coauthVersionLast="47" xr6:coauthVersionMax="47" xr10:uidLastSave="{C54EAD58-9426-4F56-A3D3-F22037E47928}"/>
  <bookViews>
    <workbookView xWindow="-120" yWindow="-120" windowWidth="29040" windowHeight="15720" xr2:uid="{00000000-000D-0000-FFFF-FFFF00000000}"/>
  </bookViews>
  <sheets>
    <sheet name="Summary" sheetId="1" r:id="rId1"/>
    <sheet name="Tourism" sheetId="7" r:id="rId2"/>
    <sheet name="Fisheries" sheetId="6" r:id="rId3"/>
    <sheet name="GDP avg" sheetId="2" r:id="rId4"/>
    <sheet name="import share" sheetId="4" r:id="rId5"/>
    <sheet name="surface area"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1" l="1"/>
  <c r="F47" i="5"/>
  <c r="H3" i="5"/>
  <c r="G46" i="1" s="1"/>
  <c r="L44" i="6"/>
  <c r="L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3" i="6"/>
  <c r="H3" i="6"/>
  <c r="F3" i="6"/>
  <c r="E3" i="6"/>
  <c r="H2" i="7"/>
  <c r="G2" i="7"/>
  <c r="F2" i="7"/>
  <c r="C51" i="6"/>
  <c r="C48" i="6"/>
  <c r="H42" i="6"/>
  <c r="J18" i="1"/>
  <c r="K18" i="1"/>
  <c r="E46" i="1"/>
  <c r="B46" i="1"/>
  <c r="G43" i="1"/>
  <c r="H34" i="2"/>
  <c r="G39" i="1"/>
  <c r="G29" i="1"/>
  <c r="G26" i="1"/>
  <c r="H19" i="1" l="1"/>
  <c r="H20" i="1"/>
  <c r="H21" i="1"/>
  <c r="H22" i="1"/>
  <c r="H23" i="1"/>
  <c r="H24" i="1"/>
  <c r="H25" i="1"/>
  <c r="H26" i="1"/>
  <c r="H27" i="1"/>
  <c r="H28" i="1"/>
  <c r="H29" i="1"/>
  <c r="H30" i="1"/>
  <c r="H31" i="1"/>
  <c r="H32" i="1"/>
  <c r="H33" i="1"/>
  <c r="H35" i="1"/>
  <c r="H36" i="1"/>
  <c r="H37" i="1"/>
  <c r="H38" i="1"/>
  <c r="H39" i="1"/>
  <c r="H40" i="1"/>
  <c r="H41" i="1"/>
  <c r="H42" i="1"/>
  <c r="H43" i="1"/>
  <c r="F18" i="1"/>
  <c r="E18" i="1"/>
  <c r="H42" i="2"/>
  <c r="C18" i="1"/>
  <c r="B18" i="1"/>
  <c r="D18" i="1" l="1"/>
  <c r="B44" i="6" l="1"/>
  <c r="C49" i="6" l="1"/>
  <c r="C3" i="6" l="1"/>
  <c r="H2" i="5" l="1"/>
  <c r="I3" i="6" l="1"/>
  <c r="F41" i="5"/>
  <c r="F45" i="5"/>
  <c r="F44" i="5"/>
  <c r="F23" i="5"/>
  <c r="F36" i="5"/>
  <c r="F15" i="5"/>
  <c r="F11" i="5"/>
  <c r="J3" i="6" l="1"/>
  <c r="C41" i="7"/>
  <c r="C42" i="6"/>
  <c r="F42" i="6" l="1"/>
  <c r="E42" i="6"/>
  <c r="C36" i="6"/>
  <c r="H36" i="6" s="1"/>
  <c r="C37" i="6"/>
  <c r="H37" i="6" s="1"/>
  <c r="C38" i="6"/>
  <c r="H38" i="6" s="1"/>
  <c r="C40" i="6"/>
  <c r="H40" i="6" s="1"/>
  <c r="C41" i="6"/>
  <c r="H41" i="6" s="1"/>
  <c r="H37" i="2"/>
  <c r="E23" i="1" s="1"/>
  <c r="H38" i="2"/>
  <c r="E12" i="1" s="1"/>
  <c r="H39" i="2"/>
  <c r="E13" i="1" s="1"/>
  <c r="H40" i="2"/>
  <c r="E21" i="1" s="1"/>
  <c r="H41" i="2"/>
  <c r="E39" i="1" s="1"/>
  <c r="H36" i="2"/>
  <c r="E41" i="1" s="1"/>
  <c r="C39" i="6"/>
  <c r="H39" i="6" s="1"/>
  <c r="I42" i="6" l="1"/>
  <c r="J42" i="6" s="1"/>
  <c r="F40" i="6"/>
  <c r="E40" i="6"/>
  <c r="F36" i="6"/>
  <c r="E36" i="6"/>
  <c r="I36" i="6" s="1"/>
  <c r="F41" i="6"/>
  <c r="E41" i="6"/>
  <c r="I41" i="6" s="1"/>
  <c r="C39" i="1" s="1"/>
  <c r="F38" i="6"/>
  <c r="E38" i="6"/>
  <c r="F39" i="6"/>
  <c r="E39" i="6"/>
  <c r="F37" i="6"/>
  <c r="E37" i="6"/>
  <c r="C35" i="7"/>
  <c r="C36" i="7"/>
  <c r="C37" i="7"/>
  <c r="C38" i="7"/>
  <c r="C39" i="7"/>
  <c r="C40" i="7"/>
  <c r="I39" i="6" l="1"/>
  <c r="I40" i="6"/>
  <c r="C21" i="1" s="1"/>
  <c r="J21" i="1" s="1"/>
  <c r="I37" i="6"/>
  <c r="C23" i="1" s="1"/>
  <c r="J23" i="1" s="1"/>
  <c r="L39" i="1"/>
  <c r="J39" i="1"/>
  <c r="I38" i="6"/>
  <c r="J38" i="6" s="1"/>
  <c r="C13" i="1"/>
  <c r="C41" i="1"/>
  <c r="J36" i="6"/>
  <c r="J41" i="6"/>
  <c r="J40" i="6"/>
  <c r="F6" i="5"/>
  <c r="G5" i="1"/>
  <c r="L21" i="1" l="1"/>
  <c r="J37" i="6"/>
  <c r="L23" i="1"/>
  <c r="C12" i="1"/>
  <c r="J12" i="1" s="1"/>
  <c r="L13" i="1"/>
  <c r="J13" i="1"/>
  <c r="L41" i="1"/>
  <c r="J41" i="1"/>
  <c r="J39" i="6"/>
  <c r="C3" i="1"/>
  <c r="B3" i="1"/>
  <c r="C4" i="6"/>
  <c r="H4" i="6" s="1"/>
  <c r="C5" i="6"/>
  <c r="H5" i="6" s="1"/>
  <c r="C6" i="6"/>
  <c r="H6" i="6" s="1"/>
  <c r="C7" i="6"/>
  <c r="H7" i="6" s="1"/>
  <c r="C8" i="6"/>
  <c r="C9" i="6"/>
  <c r="H9" i="6" s="1"/>
  <c r="C10" i="6"/>
  <c r="H10" i="6" s="1"/>
  <c r="C11" i="6"/>
  <c r="H11" i="6" s="1"/>
  <c r="C12" i="6"/>
  <c r="H12" i="6" s="1"/>
  <c r="C13" i="6"/>
  <c r="C14" i="6"/>
  <c r="H14" i="6" s="1"/>
  <c r="C15" i="6"/>
  <c r="H15" i="6" s="1"/>
  <c r="C16" i="6"/>
  <c r="H16" i="6" s="1"/>
  <c r="C17" i="6"/>
  <c r="H17" i="6" s="1"/>
  <c r="C18" i="6"/>
  <c r="H18" i="6" s="1"/>
  <c r="C19" i="6"/>
  <c r="H19" i="6" s="1"/>
  <c r="C20" i="6"/>
  <c r="H20" i="6" s="1"/>
  <c r="C21" i="6"/>
  <c r="H21" i="6" s="1"/>
  <c r="C22" i="6"/>
  <c r="H22" i="6" s="1"/>
  <c r="C23" i="6"/>
  <c r="H23" i="6" s="1"/>
  <c r="C24" i="6"/>
  <c r="H24" i="6" s="1"/>
  <c r="C25" i="6"/>
  <c r="H25" i="6" s="1"/>
  <c r="C26" i="6"/>
  <c r="H26" i="6" s="1"/>
  <c r="C27" i="6"/>
  <c r="H27" i="6" s="1"/>
  <c r="C28" i="6"/>
  <c r="H28" i="6" s="1"/>
  <c r="C29" i="6"/>
  <c r="H29" i="6" s="1"/>
  <c r="C30" i="6"/>
  <c r="H30" i="6" s="1"/>
  <c r="C31" i="6"/>
  <c r="H31" i="6" s="1"/>
  <c r="C32" i="6"/>
  <c r="H32" i="6" s="1"/>
  <c r="C33" i="6"/>
  <c r="H33" i="6" s="1"/>
  <c r="C34" i="6"/>
  <c r="H34" i="6" s="1"/>
  <c r="C35" i="6"/>
  <c r="H35" i="6" s="1"/>
  <c r="C52" i="6"/>
  <c r="C45" i="7"/>
  <c r="F41" i="7" s="1"/>
  <c r="C44" i="7"/>
  <c r="C26" i="7"/>
  <c r="D26" i="7" s="1"/>
  <c r="C25" i="7"/>
  <c r="C24" i="7"/>
  <c r="C23" i="7"/>
  <c r="C22" i="7"/>
  <c r="C21" i="7"/>
  <c r="C20" i="7"/>
  <c r="C19" i="7"/>
  <c r="D19" i="7" s="1"/>
  <c r="C18" i="7"/>
  <c r="D18" i="7" s="1"/>
  <c r="C17" i="7"/>
  <c r="C16" i="7"/>
  <c r="C15" i="7"/>
  <c r="C14" i="7"/>
  <c r="C13" i="7"/>
  <c r="C12" i="7"/>
  <c r="C11" i="7"/>
  <c r="D11" i="7" s="1"/>
  <c r="C10" i="7"/>
  <c r="C9" i="7"/>
  <c r="C8" i="7"/>
  <c r="C7" i="7"/>
  <c r="C6" i="7"/>
  <c r="C5" i="7"/>
  <c r="C4" i="7"/>
  <c r="C3" i="7"/>
  <c r="D3" i="7" s="1"/>
  <c r="C2" i="7"/>
  <c r="B34" i="7"/>
  <c r="C34" i="7" s="1"/>
  <c r="B33" i="7"/>
  <c r="C33" i="7" s="1"/>
  <c r="B32" i="7"/>
  <c r="C32" i="7" s="1"/>
  <c r="F32" i="7" s="1"/>
  <c r="B31" i="7"/>
  <c r="C31" i="7" s="1"/>
  <c r="D31" i="7" s="1"/>
  <c r="B30" i="7"/>
  <c r="C30" i="7" s="1"/>
  <c r="B29" i="7"/>
  <c r="C29" i="7" s="1"/>
  <c r="B28" i="7"/>
  <c r="C28" i="7" s="1"/>
  <c r="D28" i="7" s="1"/>
  <c r="B27" i="7"/>
  <c r="C27" i="7" s="1"/>
  <c r="L12" i="1" l="1"/>
  <c r="D25" i="7"/>
  <c r="D41" i="7"/>
  <c r="G41" i="7" s="1"/>
  <c r="E13" i="6"/>
  <c r="H13" i="6"/>
  <c r="H8" i="6"/>
  <c r="C44" i="6"/>
  <c r="F29" i="6"/>
  <c r="E29" i="6"/>
  <c r="F21" i="6"/>
  <c r="E21" i="6"/>
  <c r="F13" i="6"/>
  <c r="I13" i="6" s="1"/>
  <c r="C17" i="1" s="1"/>
  <c r="F5" i="6"/>
  <c r="E5" i="6"/>
  <c r="F14" i="6"/>
  <c r="E14" i="6"/>
  <c r="F28" i="6"/>
  <c r="E28" i="6"/>
  <c r="E35" i="6"/>
  <c r="F35" i="6"/>
  <c r="E27" i="6"/>
  <c r="F27" i="6"/>
  <c r="E19" i="6"/>
  <c r="F19" i="6"/>
  <c r="E11" i="6"/>
  <c r="F11" i="6"/>
  <c r="F30" i="6"/>
  <c r="E30" i="6"/>
  <c r="F22" i="6"/>
  <c r="E22" i="6"/>
  <c r="F20" i="6"/>
  <c r="E20" i="6"/>
  <c r="F26" i="6"/>
  <c r="E26" i="6"/>
  <c r="F25" i="6"/>
  <c r="E25" i="6"/>
  <c r="E17" i="6"/>
  <c r="F17" i="6"/>
  <c r="F9" i="6"/>
  <c r="E9" i="6"/>
  <c r="F4" i="6"/>
  <c r="E4" i="6"/>
  <c r="F34" i="6"/>
  <c r="E34" i="6"/>
  <c r="F18" i="6"/>
  <c r="E18" i="6"/>
  <c r="F33" i="6"/>
  <c r="E33" i="6"/>
  <c r="F32" i="6"/>
  <c r="E32" i="6"/>
  <c r="F24" i="6"/>
  <c r="E24" i="6"/>
  <c r="F16" i="6"/>
  <c r="E16" i="6"/>
  <c r="F8" i="6"/>
  <c r="E8" i="6"/>
  <c r="F6" i="6"/>
  <c r="E6" i="6"/>
  <c r="F12" i="6"/>
  <c r="E12" i="6"/>
  <c r="F10" i="6"/>
  <c r="E10" i="6"/>
  <c r="F31" i="6"/>
  <c r="E31" i="6"/>
  <c r="F23" i="6"/>
  <c r="E23" i="6"/>
  <c r="F15" i="6"/>
  <c r="E15" i="6"/>
  <c r="F7" i="6"/>
  <c r="E7" i="6"/>
  <c r="F18" i="7"/>
  <c r="H18" i="7" s="1"/>
  <c r="F40" i="7"/>
  <c r="F39" i="7"/>
  <c r="F38" i="7"/>
  <c r="F37" i="7"/>
  <c r="F36" i="7"/>
  <c r="F35" i="7"/>
  <c r="F26" i="7"/>
  <c r="G26" i="7" s="1"/>
  <c r="B32" i="1" s="1"/>
  <c r="D33" i="7"/>
  <c r="F8" i="7"/>
  <c r="F16" i="7"/>
  <c r="F24" i="7"/>
  <c r="F19" i="7"/>
  <c r="H19" i="7" s="1"/>
  <c r="D34" i="7"/>
  <c r="C47" i="7"/>
  <c r="C48" i="7" s="1"/>
  <c r="D40" i="7"/>
  <c r="H40" i="7" s="1"/>
  <c r="D36" i="7"/>
  <c r="D37" i="7"/>
  <c r="D39" i="7"/>
  <c r="H39" i="7" s="1"/>
  <c r="D35" i="7"/>
  <c r="D38" i="7"/>
  <c r="D27" i="7"/>
  <c r="D17" i="7"/>
  <c r="D29" i="7"/>
  <c r="D4" i="7"/>
  <c r="H4" i="7" s="1"/>
  <c r="D12" i="7"/>
  <c r="D20" i="7"/>
  <c r="F4" i="7"/>
  <c r="D9" i="7"/>
  <c r="F10" i="7"/>
  <c r="D10" i="7"/>
  <c r="D30" i="7"/>
  <c r="H30" i="7" s="1"/>
  <c r="D5" i="7"/>
  <c r="D13" i="7"/>
  <c r="D21" i="7"/>
  <c r="F3" i="7"/>
  <c r="G3" i="7" s="1"/>
  <c r="B10" i="1" s="1"/>
  <c r="F11" i="7"/>
  <c r="G11" i="7" s="1"/>
  <c r="B15" i="1" s="1"/>
  <c r="D6" i="7"/>
  <c r="D14" i="7"/>
  <c r="H14" i="7" s="1"/>
  <c r="D22" i="7"/>
  <c r="F34" i="7"/>
  <c r="H34" i="7" s="1"/>
  <c r="D7" i="7"/>
  <c r="D15" i="7"/>
  <c r="D23" i="7"/>
  <c r="F27" i="7"/>
  <c r="H11" i="7"/>
  <c r="D32" i="7"/>
  <c r="G32" i="7" s="1"/>
  <c r="B42" i="1" s="1"/>
  <c r="D24" i="7"/>
  <c r="G24" i="7" s="1"/>
  <c r="B28" i="1" s="1"/>
  <c r="D16" i="7"/>
  <c r="D8" i="7"/>
  <c r="G8" i="7" s="1"/>
  <c r="B8" i="1" s="1"/>
  <c r="F33" i="7"/>
  <c r="F25" i="7"/>
  <c r="G25" i="7" s="1"/>
  <c r="B31" i="1" s="1"/>
  <c r="F17" i="7"/>
  <c r="F9" i="7"/>
  <c r="F31" i="7"/>
  <c r="G31" i="7" s="1"/>
  <c r="B35" i="1" s="1"/>
  <c r="F23" i="7"/>
  <c r="F15" i="7"/>
  <c r="F7" i="7"/>
  <c r="G7" i="7" s="1"/>
  <c r="B7" i="1" s="1"/>
  <c r="F30" i="7"/>
  <c r="F22" i="7"/>
  <c r="G22" i="7" s="1"/>
  <c r="B25" i="1" s="1"/>
  <c r="F14" i="7"/>
  <c r="F6" i="7"/>
  <c r="F29" i="7"/>
  <c r="F21" i="7"/>
  <c r="G21" i="7" s="1"/>
  <c r="B30" i="1" s="1"/>
  <c r="F13" i="7"/>
  <c r="F5" i="7"/>
  <c r="D2" i="7"/>
  <c r="F28" i="7"/>
  <c r="H28" i="7" s="1"/>
  <c r="F20" i="7"/>
  <c r="G20" i="7" s="1"/>
  <c r="B27" i="1" s="1"/>
  <c r="F12" i="7"/>
  <c r="G40" i="1"/>
  <c r="G42" i="1"/>
  <c r="G37" i="1"/>
  <c r="H35" i="2"/>
  <c r="E43" i="1" s="1"/>
  <c r="H44" i="6" l="1"/>
  <c r="I32" i="6"/>
  <c r="J32" i="6" s="1"/>
  <c r="I26" i="6"/>
  <c r="J26" i="6" s="1"/>
  <c r="I23" i="6"/>
  <c r="J23" i="6" s="1"/>
  <c r="I6" i="6"/>
  <c r="J6" i="6" s="1"/>
  <c r="H38" i="7"/>
  <c r="H37" i="7"/>
  <c r="I15" i="6"/>
  <c r="J15" i="6" s="1"/>
  <c r="I24" i="6"/>
  <c r="C33" i="1" s="1"/>
  <c r="I34" i="6"/>
  <c r="J34" i="6" s="1"/>
  <c r="I25" i="6"/>
  <c r="I30" i="6"/>
  <c r="J30" i="6" s="1"/>
  <c r="H31" i="7"/>
  <c r="E44" i="6"/>
  <c r="I28" i="6"/>
  <c r="C34" i="1" s="1"/>
  <c r="I21" i="6"/>
  <c r="C27" i="1" s="1"/>
  <c r="D27" i="1" s="1"/>
  <c r="H12" i="7"/>
  <c r="G30" i="7"/>
  <c r="B40" i="1" s="1"/>
  <c r="M40" i="1" s="1"/>
  <c r="H9" i="7"/>
  <c r="H17" i="7"/>
  <c r="H36" i="7"/>
  <c r="H33" i="7"/>
  <c r="I31" i="6"/>
  <c r="C40" i="1" s="1"/>
  <c r="I33" i="6"/>
  <c r="C42" i="1" s="1"/>
  <c r="D42" i="1" s="1"/>
  <c r="I9" i="6"/>
  <c r="J9" i="6" s="1"/>
  <c r="I20" i="6"/>
  <c r="C26" i="1" s="1"/>
  <c r="I14" i="6"/>
  <c r="C16" i="1" s="1"/>
  <c r="I29" i="6"/>
  <c r="J29" i="6" s="1"/>
  <c r="H41" i="7"/>
  <c r="G13" i="7"/>
  <c r="B16" i="1" s="1"/>
  <c r="G16" i="7"/>
  <c r="B24" i="1" s="1"/>
  <c r="H21" i="7"/>
  <c r="I7" i="6"/>
  <c r="C9" i="1" s="1"/>
  <c r="I10" i="6"/>
  <c r="J10" i="6" s="1"/>
  <c r="I16" i="6"/>
  <c r="J16" i="6" s="1"/>
  <c r="I18" i="6"/>
  <c r="C20" i="1" s="1"/>
  <c r="I22" i="6"/>
  <c r="J22" i="6" s="1"/>
  <c r="I12" i="6"/>
  <c r="J12" i="6" s="1"/>
  <c r="I4" i="6"/>
  <c r="J4" i="6" s="1"/>
  <c r="F44" i="6"/>
  <c r="I8" i="6"/>
  <c r="J8" i="6" s="1"/>
  <c r="M42" i="1"/>
  <c r="M31" i="1"/>
  <c r="I5" i="6"/>
  <c r="J5" i="6" s="1"/>
  <c r="I17" i="6"/>
  <c r="C24" i="1" s="1"/>
  <c r="I27" i="6"/>
  <c r="J27" i="6" s="1"/>
  <c r="I35" i="6"/>
  <c r="C37" i="1" s="1"/>
  <c r="I11" i="6"/>
  <c r="J11" i="6" s="1"/>
  <c r="I19" i="6"/>
  <c r="J19" i="6" s="1"/>
  <c r="J18" i="6"/>
  <c r="C14" i="1"/>
  <c r="C43" i="1"/>
  <c r="C22" i="1"/>
  <c r="C29" i="1"/>
  <c r="J21" i="6"/>
  <c r="C28" i="1"/>
  <c r="J25" i="6"/>
  <c r="C11" i="1"/>
  <c r="C5" i="1"/>
  <c r="C10" i="1"/>
  <c r="C35" i="1"/>
  <c r="J13" i="6"/>
  <c r="C31" i="1"/>
  <c r="C30" i="1"/>
  <c r="C25" i="1"/>
  <c r="G19" i="7"/>
  <c r="B26" i="1" s="1"/>
  <c r="G12" i="7"/>
  <c r="B17" i="1" s="1"/>
  <c r="G14" i="7"/>
  <c r="B29" i="1" s="1"/>
  <c r="G17" i="7"/>
  <c r="B20" i="1" s="1"/>
  <c r="H22" i="7"/>
  <c r="H13" i="7"/>
  <c r="H20" i="7"/>
  <c r="G27" i="7"/>
  <c r="B34" i="1" s="1"/>
  <c r="G36" i="7"/>
  <c r="B23" i="1" s="1"/>
  <c r="G43" i="7"/>
  <c r="G33" i="7"/>
  <c r="B43" i="1" s="1"/>
  <c r="G23" i="7"/>
  <c r="B33" i="1" s="1"/>
  <c r="H6" i="7"/>
  <c r="H26" i="7"/>
  <c r="G35" i="7"/>
  <c r="B41" i="1" s="1"/>
  <c r="H35" i="7"/>
  <c r="G38" i="7"/>
  <c r="B13" i="1" s="1"/>
  <c r="H15" i="7"/>
  <c r="H29" i="7"/>
  <c r="G39" i="7"/>
  <c r="B21" i="1" s="1"/>
  <c r="G5" i="7"/>
  <c r="B14" i="1" s="1"/>
  <c r="H7" i="7"/>
  <c r="G18" i="7"/>
  <c r="B22" i="1" s="1"/>
  <c r="G37" i="7"/>
  <c r="B12" i="1" s="1"/>
  <c r="G40" i="7"/>
  <c r="B39" i="1" s="1"/>
  <c r="J17" i="6"/>
  <c r="C36" i="1"/>
  <c r="C38" i="1"/>
  <c r="H23" i="7"/>
  <c r="G34" i="7"/>
  <c r="B37" i="1" s="1"/>
  <c r="G28" i="7"/>
  <c r="B38" i="1" s="1"/>
  <c r="H3" i="7"/>
  <c r="H25" i="7"/>
  <c r="G15" i="7"/>
  <c r="B19" i="1" s="1"/>
  <c r="H8" i="7"/>
  <c r="G10" i="7"/>
  <c r="B11" i="1" s="1"/>
  <c r="H10" i="7"/>
  <c r="H16" i="7"/>
  <c r="H27" i="7"/>
  <c r="H5" i="7"/>
  <c r="H24" i="7"/>
  <c r="G29" i="7"/>
  <c r="B36" i="1" s="1"/>
  <c r="G6" i="7"/>
  <c r="B9" i="1" s="1"/>
  <c r="G9" i="7"/>
  <c r="B6" i="1" s="1"/>
  <c r="G4" i="7"/>
  <c r="B4" i="1" s="1"/>
  <c r="H32" i="7"/>
  <c r="B5" i="1"/>
  <c r="E37" i="1"/>
  <c r="H32" i="2"/>
  <c r="E38" i="1" s="1"/>
  <c r="H33" i="2"/>
  <c r="E42" i="1" s="1"/>
  <c r="K42" i="1" s="1"/>
  <c r="E40" i="1"/>
  <c r="H30" i="2"/>
  <c r="E34" i="1" s="1"/>
  <c r="D24" i="1" l="1"/>
  <c r="K40" i="1"/>
  <c r="D16" i="1"/>
  <c r="J33" i="6"/>
  <c r="L42" i="1"/>
  <c r="J31" i="6"/>
  <c r="J24" i="6"/>
  <c r="J28" i="6"/>
  <c r="J34" i="1"/>
  <c r="C19" i="1"/>
  <c r="J14" i="6"/>
  <c r="C8" i="1"/>
  <c r="D8" i="1" s="1"/>
  <c r="J20" i="6"/>
  <c r="C15" i="1"/>
  <c r="D15" i="1" s="1"/>
  <c r="C6" i="1"/>
  <c r="D6" i="1" s="1"/>
  <c r="C4" i="1"/>
  <c r="D4" i="1" s="1"/>
  <c r="K21" i="1"/>
  <c r="M21" i="1"/>
  <c r="D21" i="1"/>
  <c r="M39" i="1"/>
  <c r="K39" i="1"/>
  <c r="D39" i="1"/>
  <c r="M13" i="1"/>
  <c r="K13" i="1"/>
  <c r="D13" i="1"/>
  <c r="M23" i="1"/>
  <c r="K23" i="1"/>
  <c r="D23" i="1"/>
  <c r="H43" i="7"/>
  <c r="B44" i="1" s="1"/>
  <c r="M41" i="1"/>
  <c r="K41" i="1"/>
  <c r="D41" i="1"/>
  <c r="C7" i="1"/>
  <c r="D7" i="1" s="1"/>
  <c r="J7" i="6"/>
  <c r="M12" i="1"/>
  <c r="K12" i="1"/>
  <c r="D12" i="1"/>
  <c r="C32" i="1"/>
  <c r="D32" i="1" s="1"/>
  <c r="J35" i="6"/>
  <c r="I44" i="6"/>
  <c r="M5" i="1"/>
  <c r="L38" i="1"/>
  <c r="J38" i="1"/>
  <c r="D30" i="1"/>
  <c r="D17" i="1"/>
  <c r="M26" i="1"/>
  <c r="D35" i="1"/>
  <c r="L43" i="1"/>
  <c r="J43" i="1"/>
  <c r="L37" i="1"/>
  <c r="J37" i="1"/>
  <c r="J42" i="1"/>
  <c r="M38" i="1"/>
  <c r="K38" i="1"/>
  <c r="D28" i="1"/>
  <c r="M37" i="1"/>
  <c r="K37" i="1"/>
  <c r="D14" i="1"/>
  <c r="D34" i="1"/>
  <c r="K34" i="1"/>
  <c r="D10" i="1"/>
  <c r="D25" i="1"/>
  <c r="L26" i="1"/>
  <c r="D33" i="1"/>
  <c r="D20" i="1"/>
  <c r="L5" i="1"/>
  <c r="L29" i="1"/>
  <c r="M43" i="1"/>
  <c r="K43" i="1"/>
  <c r="M29" i="1"/>
  <c r="D31" i="1"/>
  <c r="L31" i="1"/>
  <c r="D40" i="1"/>
  <c r="L40" i="1"/>
  <c r="J40" i="1"/>
  <c r="D9" i="1"/>
  <c r="D19" i="1"/>
  <c r="D29" i="1"/>
  <c r="D43" i="1"/>
  <c r="D22" i="1"/>
  <c r="D37" i="1"/>
  <c r="D11" i="1"/>
  <c r="D38" i="1"/>
  <c r="D36" i="1"/>
  <c r="D26" i="1"/>
  <c r="D5" i="1"/>
  <c r="F43" i="5"/>
  <c r="G36" i="1"/>
  <c r="L36" i="1" s="1"/>
  <c r="G35" i="1"/>
  <c r="M35" i="1" s="1"/>
  <c r="G14" i="1"/>
  <c r="M14" i="1" s="1"/>
  <c r="G27" i="1"/>
  <c r="G11" i="1"/>
  <c r="L11" i="1" s="1"/>
  <c r="G32" i="1"/>
  <c r="M32" i="1" s="1"/>
  <c r="G8" i="1"/>
  <c r="M8" i="1" s="1"/>
  <c r="G15" i="1"/>
  <c r="M15" i="1" s="1"/>
  <c r="G22" i="1"/>
  <c r="M22" i="1" s="1"/>
  <c r="G9" i="1"/>
  <c r="L9" i="1" s="1"/>
  <c r="G20" i="1"/>
  <c r="L20" i="1" s="1"/>
  <c r="G24" i="1"/>
  <c r="M24" i="1" s="1"/>
  <c r="G25" i="1"/>
  <c r="M25" i="1" s="1"/>
  <c r="G28" i="1"/>
  <c r="M28" i="1" s="1"/>
  <c r="G7" i="1"/>
  <c r="M7" i="1" s="1"/>
  <c r="G4" i="1"/>
  <c r="M4" i="1" s="1"/>
  <c r="G17" i="1"/>
  <c r="L17" i="1" s="1"/>
  <c r="G19" i="1"/>
  <c r="M19" i="1" s="1"/>
  <c r="G16" i="1"/>
  <c r="G33" i="1"/>
  <c r="L33" i="1" s="1"/>
  <c r="G30" i="1"/>
  <c r="M30" i="1" s="1"/>
  <c r="G6" i="1"/>
  <c r="F39" i="5"/>
  <c r="H34" i="5"/>
  <c r="J44" i="6" l="1"/>
  <c r="C44" i="1" s="1"/>
  <c r="L6" i="1"/>
  <c r="F39" i="1"/>
  <c r="H12" i="1"/>
  <c r="F12" i="1"/>
  <c r="F23" i="1"/>
  <c r="F21" i="1"/>
  <c r="F41" i="1"/>
  <c r="M36" i="1"/>
  <c r="L22" i="1"/>
  <c r="L24" i="1"/>
  <c r="F13" i="1"/>
  <c r="H13" i="1"/>
  <c r="L14" i="1"/>
  <c r="L30" i="1"/>
  <c r="L7" i="1"/>
  <c r="M17" i="1"/>
  <c r="L8" i="1"/>
  <c r="M20" i="1"/>
  <c r="M9" i="1"/>
  <c r="M11" i="1"/>
  <c r="L19" i="1"/>
  <c r="M27" i="1"/>
  <c r="L27" i="1"/>
  <c r="L28" i="1"/>
  <c r="M6" i="1"/>
  <c r="L4" i="1"/>
  <c r="L15" i="1"/>
  <c r="L25" i="1"/>
  <c r="M16" i="1"/>
  <c r="L16" i="1"/>
  <c r="M33" i="1"/>
  <c r="L32" i="1"/>
  <c r="L35" i="1"/>
  <c r="H30" i="5"/>
  <c r="F9" i="5"/>
  <c r="F10" i="5"/>
  <c r="F13" i="5"/>
  <c r="F35" i="5"/>
  <c r="H21" i="5"/>
  <c r="F14" i="5"/>
  <c r="F18" i="5"/>
  <c r="F24" i="5"/>
  <c r="F7" i="5"/>
  <c r="F19" i="5"/>
  <c r="F33" i="5"/>
  <c r="F22" i="5"/>
  <c r="F40" i="5"/>
  <c r="H26" i="5"/>
  <c r="F16" i="5"/>
  <c r="F28" i="5"/>
  <c r="F42" i="5"/>
  <c r="F20" i="5"/>
  <c r="F32" i="5"/>
  <c r="F34" i="5"/>
  <c r="F8" i="5"/>
  <c r="F17" i="5"/>
  <c r="F27" i="5"/>
  <c r="F29" i="5"/>
  <c r="F37" i="5"/>
  <c r="F38" i="5"/>
  <c r="F12" i="5"/>
  <c r="F31" i="5"/>
  <c r="H29" i="4"/>
  <c r="H28" i="4"/>
  <c r="H27" i="4"/>
  <c r="H26" i="4"/>
  <c r="H24" i="4"/>
  <c r="H7" i="4" s="1"/>
  <c r="H23" i="4"/>
  <c r="H21" i="4"/>
  <c r="H20" i="4"/>
  <c r="H19" i="4"/>
  <c r="H17" i="4"/>
  <c r="H16" i="4"/>
  <c r="H14" i="4"/>
  <c r="H13" i="4"/>
  <c r="H12" i="4"/>
  <c r="H11" i="4"/>
  <c r="H10" i="4"/>
  <c r="H25" i="4" s="1"/>
  <c r="H8" i="4"/>
  <c r="H9" i="4" s="1"/>
  <c r="H6" i="4"/>
  <c r="H22" i="4" s="1"/>
  <c r="H5" i="4"/>
  <c r="H4" i="4"/>
  <c r="H3" i="4"/>
  <c r="H28" i="2"/>
  <c r="E35" i="1" s="1"/>
  <c r="H29" i="2"/>
  <c r="E36" i="1" s="1"/>
  <c r="E10" i="1"/>
  <c r="F22" i="2"/>
  <c r="E22" i="2"/>
  <c r="D22" i="2"/>
  <c r="C22" i="2"/>
  <c r="B22" i="2"/>
  <c r="H22" i="2" s="1"/>
  <c r="E15" i="1" s="1"/>
  <c r="H13" i="2"/>
  <c r="E7" i="1" s="1"/>
  <c r="H4" i="2"/>
  <c r="E30" i="1" s="1"/>
  <c r="H5" i="2"/>
  <c r="E29" i="1" s="1"/>
  <c r="H6" i="2"/>
  <c r="E5" i="1" s="1"/>
  <c r="H7" i="2"/>
  <c r="E33" i="1" s="1"/>
  <c r="H8" i="2"/>
  <c r="E16" i="1" s="1"/>
  <c r="H9" i="2"/>
  <c r="E19" i="1" s="1"/>
  <c r="H10" i="2"/>
  <c r="E17" i="1" s="1"/>
  <c r="H11" i="2"/>
  <c r="E4" i="1" s="1"/>
  <c r="H12" i="2"/>
  <c r="H14" i="2"/>
  <c r="E28" i="1" s="1"/>
  <c r="H15" i="2"/>
  <c r="E25" i="1" s="1"/>
  <c r="H16" i="2"/>
  <c r="E26" i="1" s="1"/>
  <c r="H17" i="2"/>
  <c r="E24" i="1" s="1"/>
  <c r="H18" i="2"/>
  <c r="E20" i="1" s="1"/>
  <c r="H19" i="2"/>
  <c r="E9" i="1" s="1"/>
  <c r="H20" i="2"/>
  <c r="E31" i="1" s="1"/>
  <c r="H21" i="2"/>
  <c r="E22" i="1" s="1"/>
  <c r="H23" i="2"/>
  <c r="E8" i="1" s="1"/>
  <c r="H24" i="2"/>
  <c r="E32" i="1" s="1"/>
  <c r="H25" i="2"/>
  <c r="E11" i="1" s="1"/>
  <c r="H26" i="2"/>
  <c r="E27" i="1" s="1"/>
  <c r="H27" i="2"/>
  <c r="E14" i="1" s="1"/>
  <c r="H3" i="2"/>
  <c r="E6" i="1" s="1"/>
  <c r="D44" i="1" l="1"/>
  <c r="D46" i="1" s="1"/>
  <c r="G10" i="1"/>
  <c r="L10" i="1" s="1"/>
  <c r="K24" i="1"/>
  <c r="J24" i="1"/>
  <c r="K16" i="1"/>
  <c r="J16" i="1"/>
  <c r="J11" i="1"/>
  <c r="K11" i="1"/>
  <c r="K26" i="1"/>
  <c r="J26" i="1"/>
  <c r="J33" i="1"/>
  <c r="K33" i="1"/>
  <c r="K30" i="1"/>
  <c r="J30" i="1"/>
  <c r="J27" i="1"/>
  <c r="K27" i="1"/>
  <c r="K5" i="1"/>
  <c r="J5" i="1"/>
  <c r="J36" i="1"/>
  <c r="K36" i="1"/>
  <c r="K28" i="1"/>
  <c r="J28" i="1"/>
  <c r="K35" i="1"/>
  <c r="J35" i="1"/>
  <c r="J6" i="1"/>
  <c r="K6" i="1"/>
  <c r="K32" i="1"/>
  <c r="J32" i="1"/>
  <c r="K25" i="1"/>
  <c r="J25" i="1"/>
  <c r="K15" i="1"/>
  <c r="J15" i="1"/>
  <c r="K8" i="1"/>
  <c r="J8" i="1"/>
  <c r="K29" i="1"/>
  <c r="J29" i="1"/>
  <c r="K22" i="1"/>
  <c r="J22" i="1"/>
  <c r="K31" i="1"/>
  <c r="J31" i="1"/>
  <c r="K7" i="1"/>
  <c r="J7" i="1"/>
  <c r="J9" i="1"/>
  <c r="K9" i="1"/>
  <c r="J17" i="1"/>
  <c r="K17" i="1"/>
  <c r="K10" i="1"/>
  <c r="J10" i="1"/>
  <c r="J14" i="1"/>
  <c r="K14" i="1"/>
  <c r="J20" i="1"/>
  <c r="K20" i="1"/>
  <c r="K19" i="1"/>
  <c r="J19" i="1"/>
  <c r="K4" i="1"/>
  <c r="J4" i="1"/>
  <c r="H34" i="4"/>
  <c r="H35" i="4"/>
  <c r="H33" i="4"/>
  <c r="H31" i="4"/>
  <c r="H30" i="4"/>
  <c r="H32" i="4" s="1"/>
  <c r="H15" i="4"/>
  <c r="E47" i="1"/>
  <c r="B47" i="1"/>
  <c r="B51" i="1" s="1"/>
  <c r="M10" i="1" l="1"/>
  <c r="C47" i="1"/>
  <c r="F43" i="1" l="1"/>
  <c r="F34" i="1"/>
  <c r="F38" i="1"/>
  <c r="F35" i="1"/>
  <c r="F40" i="1" l="1"/>
  <c r="F42" i="1"/>
  <c r="F36" i="1"/>
  <c r="F37" i="1"/>
  <c r="H7" i="1" l="1"/>
  <c r="H8" i="1"/>
  <c r="H4" i="1"/>
  <c r="F4" i="1" l="1"/>
  <c r="F7" i="1"/>
  <c r="H16" i="1"/>
  <c r="H10" i="1"/>
  <c r="H11" i="1"/>
  <c r="H14" i="1"/>
  <c r="H15" i="1"/>
  <c r="H9" i="1"/>
  <c r="H17" i="1"/>
  <c r="F6" i="1"/>
  <c r="F8" i="1"/>
  <c r="F20" i="1" l="1"/>
  <c r="F26" i="1"/>
  <c r="F33" i="1"/>
  <c r="F25" i="1"/>
  <c r="F17" i="1"/>
  <c r="F11" i="1"/>
  <c r="F28" i="1"/>
  <c r="F32" i="1"/>
  <c r="F16" i="1"/>
  <c r="F22" i="1"/>
  <c r="F19" i="1"/>
  <c r="H6" i="1"/>
  <c r="F30" i="1"/>
  <c r="F9" i="1"/>
  <c r="F14" i="1"/>
  <c r="F27" i="1"/>
  <c r="F10" i="1"/>
  <c r="F15" i="1"/>
  <c r="F31" i="1"/>
  <c r="F5" i="1"/>
  <c r="H5" i="1"/>
  <c r="F29" i="1"/>
  <c r="F24" i="1"/>
  <c r="D47" i="1" l="1"/>
  <c r="F46" i="1"/>
  <c r="H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 authorId="0" shapeId="0" xr:uid="{00000000-0006-0000-0000-000001000000}">
      <text>
        <r>
          <rPr>
            <b/>
            <sz val="9"/>
            <color indexed="81"/>
            <rFont val="Tahoma"/>
            <family val="2"/>
          </rPr>
          <t>Author:</t>
        </r>
        <r>
          <rPr>
            <sz val="9"/>
            <color indexed="81"/>
            <rFont val="Tahoma"/>
            <family val="2"/>
          </rPr>
          <t xml:space="preserve">
Spalding et al. 2017
Where possible, data were gathered for all years from 2008 to 2012. Local currency data were converted to historic US dollar values for 30 June of the relevant year. These values were then converted to 2013 values using the Consumer Price Index (CPI) price deflator</t>
        </r>
      </text>
    </comment>
    <comment ref="C3" authorId="0" shapeId="0" xr:uid="{00000000-0006-0000-0000-000002000000}">
      <text>
        <r>
          <rPr>
            <b/>
            <sz val="9"/>
            <color indexed="81"/>
            <rFont val="Tahoma"/>
            <family val="2"/>
          </rPr>
          <t>Author:</t>
        </r>
        <r>
          <rPr>
            <sz val="9"/>
            <color indexed="81"/>
            <rFont val="Tahoma"/>
            <family val="2"/>
          </rPr>
          <t xml:space="preserve">
Spalding et al. 2017</t>
        </r>
      </text>
    </comment>
    <comment ref="E3" authorId="0" shapeId="0" xr:uid="{00000000-0006-0000-0000-000003000000}">
      <text>
        <r>
          <rPr>
            <b/>
            <sz val="9"/>
            <color indexed="81"/>
            <rFont val="Tahoma"/>
            <family val="2"/>
          </rPr>
          <t>Author:</t>
        </r>
        <r>
          <rPr>
            <sz val="9"/>
            <color indexed="81"/>
            <rFont val="Tahoma"/>
            <family val="2"/>
          </rPr>
          <t xml:space="preserve">
Source World Bank, average over years 2008 to 2012</t>
        </r>
      </text>
    </comment>
    <comment ref="G26" authorId="0" shapeId="0" xr:uid="{00000000-0006-0000-0000-000004000000}">
      <text>
        <r>
          <rPr>
            <b/>
            <sz val="9"/>
            <color indexed="81"/>
            <rFont val="Tahoma"/>
            <family val="2"/>
          </rPr>
          <t>Author:</t>
        </r>
        <r>
          <rPr>
            <sz val="9"/>
            <color indexed="81"/>
            <rFont val="Tahoma"/>
            <family val="2"/>
          </rPr>
          <t xml:space="preserve">
&lt;50 according to UNEP atlas</t>
        </r>
      </text>
    </comment>
    <comment ref="G29" authorId="0" shapeId="0" xr:uid="{00000000-0006-0000-0000-000005000000}">
      <text>
        <r>
          <rPr>
            <b/>
            <sz val="9"/>
            <color indexed="81"/>
            <rFont val="Tahoma"/>
            <family val="2"/>
          </rPr>
          <t>Author:</t>
        </r>
        <r>
          <rPr>
            <sz val="9"/>
            <color indexed="81"/>
            <rFont val="Tahoma"/>
            <family val="2"/>
          </rPr>
          <t xml:space="preserve">
&lt;50 according to UNEP atlas</t>
        </r>
      </text>
    </comment>
    <comment ref="B34" authorId="0" shapeId="0" xr:uid="{00000000-0006-0000-0000-000006000000}">
      <text>
        <r>
          <rPr>
            <b/>
            <sz val="9"/>
            <color indexed="81"/>
            <rFont val="Tahoma"/>
            <family val="2"/>
          </rPr>
          <t>Author:</t>
        </r>
        <r>
          <rPr>
            <sz val="9"/>
            <color indexed="81"/>
            <rFont val="Tahoma"/>
            <family val="2"/>
          </rPr>
          <t xml:space="preserve">
Timor tourist arrivals in 2014 were 58000 and for PNG 175000 - assume equal fraction coral tourism</t>
        </r>
      </text>
    </comment>
    <comment ref="B35" authorId="0" shapeId="0" xr:uid="{00000000-0006-0000-0000-000009000000}">
      <text>
        <r>
          <rPr>
            <b/>
            <sz val="9"/>
            <color indexed="81"/>
            <rFont val="Tahoma"/>
            <family val="2"/>
          </rPr>
          <t>Author:</t>
        </r>
        <r>
          <rPr>
            <sz val="9"/>
            <color indexed="81"/>
            <rFont val="Tahoma"/>
            <family val="2"/>
          </rPr>
          <t xml:space="preserve">
Marshall Islands tourist arrivals in 2014 were 4900 and for Tonga 65800 - assume equal fraction coral tourism</t>
        </r>
      </text>
    </comment>
    <comment ref="B36" authorId="0" shapeId="0" xr:uid="{00000000-0006-0000-0000-000008000000}">
      <text>
        <r>
          <rPr>
            <b/>
            <sz val="9"/>
            <color indexed="81"/>
            <rFont val="Tahoma"/>
            <family val="2"/>
          </rPr>
          <t>Author:</t>
        </r>
        <r>
          <rPr>
            <sz val="9"/>
            <color indexed="81"/>
            <rFont val="Tahoma"/>
            <family val="2"/>
          </rPr>
          <t xml:space="preserve">
Kiribati tourist arrivals in 2014 were 8300 and for Tonga 65800 - assume equal fraction coral tourism</t>
        </r>
      </text>
    </comment>
    <comment ref="B37" authorId="0" shapeId="0" xr:uid="{00000000-0006-0000-0000-00000C000000}">
      <text>
        <r>
          <rPr>
            <b/>
            <sz val="9"/>
            <color indexed="81"/>
            <rFont val="Tahoma"/>
            <family val="2"/>
          </rPr>
          <t>Author:</t>
        </r>
        <r>
          <rPr>
            <sz val="9"/>
            <color indexed="81"/>
            <rFont val="Tahoma"/>
            <family val="2"/>
          </rPr>
          <t xml:space="preserve">
Tuvalu tourist arrivals in 2012 were 100 (assumption) and for Tonga 57000 - assume equal fraction coral tourism</t>
        </r>
      </text>
    </comment>
    <comment ref="B38" authorId="0" shapeId="0" xr:uid="{00000000-0006-0000-0000-000007000000}">
      <text>
        <r>
          <rPr>
            <b/>
            <sz val="9"/>
            <color indexed="81"/>
            <rFont val="Tahoma"/>
            <family val="2"/>
          </rPr>
          <t>Author:</t>
        </r>
        <r>
          <rPr>
            <sz val="9"/>
            <color indexed="81"/>
            <rFont val="Tahoma"/>
            <family val="2"/>
          </rPr>
          <t xml:space="preserve">
American Samoa tourist arrivals in 2014 were 50000 and for Samoa 135000 - assume equal fraction coral tourism</t>
        </r>
      </text>
    </comment>
    <comment ref="G39" authorId="0" shapeId="0" xr:uid="{00000000-0006-0000-0000-00000F000000}">
      <text>
        <r>
          <rPr>
            <b/>
            <sz val="9"/>
            <color indexed="81"/>
            <rFont val="Tahoma"/>
            <family val="2"/>
          </rPr>
          <t>Author:</t>
        </r>
        <r>
          <rPr>
            <sz val="9"/>
            <color indexed="81"/>
            <rFont val="Tahoma"/>
            <family val="2"/>
          </rPr>
          <t xml:space="preserve">
&lt;50 according to UNEP atlas</t>
        </r>
      </text>
    </comment>
    <comment ref="B40" authorId="0" shapeId="0" xr:uid="{00000000-0006-0000-0000-00000A000000}">
      <text>
        <r>
          <rPr>
            <b/>
            <sz val="9"/>
            <color indexed="81"/>
            <rFont val="Tahoma"/>
            <family val="2"/>
          </rPr>
          <t>Author:</t>
        </r>
        <r>
          <rPr>
            <sz val="9"/>
            <color indexed="81"/>
            <rFont val="Tahoma"/>
            <family val="2"/>
          </rPr>
          <t xml:space="preserve">
Niue tourist arrivals in 2012 were 3200  and for Tonga 57000 - assume equal fraction coral tourism</t>
        </r>
      </text>
    </comment>
    <comment ref="G41" authorId="0" shapeId="0" xr:uid="{00000000-0006-0000-0000-000010000000}">
      <text>
        <r>
          <rPr>
            <b/>
            <sz val="9"/>
            <color indexed="81"/>
            <rFont val="Tahoma"/>
            <family val="2"/>
          </rPr>
          <t>Author:</t>
        </r>
        <r>
          <rPr>
            <sz val="9"/>
            <color indexed="81"/>
            <rFont val="Tahoma"/>
            <family val="2"/>
          </rPr>
          <t xml:space="preserve">
&lt;100 according to UNEP atlas</t>
        </r>
      </text>
    </comment>
    <comment ref="B42" authorId="0" shapeId="0" xr:uid="{00000000-0006-0000-0000-00000B000000}">
      <text>
        <r>
          <rPr>
            <b/>
            <sz val="9"/>
            <color indexed="81"/>
            <rFont val="Tahoma"/>
            <family val="2"/>
          </rPr>
          <t>Author:</t>
        </r>
        <r>
          <rPr>
            <sz val="9"/>
            <color indexed="81"/>
            <rFont val="Tahoma"/>
            <family val="2"/>
          </rPr>
          <t xml:space="preserve">
Tuvalu tourist arrivals in 2012 were 1100 and for Tonga 57000 - assume equal fraction coral tourism</t>
        </r>
      </text>
    </comment>
    <comment ref="B43" authorId="0" shapeId="0" xr:uid="{00000000-0006-0000-0000-00000D000000}">
      <text>
        <r>
          <rPr>
            <b/>
            <sz val="9"/>
            <color indexed="81"/>
            <rFont val="Tahoma"/>
            <family val="2"/>
          </rPr>
          <t>Author:</t>
        </r>
        <r>
          <rPr>
            <sz val="9"/>
            <color indexed="81"/>
            <rFont val="Tahoma"/>
            <family val="2"/>
          </rPr>
          <t xml:space="preserve">
Nauru tourist arrivals in 2012 were 200 and for Tonga 57000 - assume equal fraction coral tourism</t>
        </r>
      </text>
    </comment>
    <comment ref="G43" authorId="0" shapeId="0" xr:uid="{00000000-0006-0000-0000-00000E000000}">
      <text>
        <r>
          <rPr>
            <b/>
            <sz val="9"/>
            <color indexed="81"/>
            <rFont val="Tahoma"/>
            <family val="2"/>
          </rPr>
          <t>Author:</t>
        </r>
        <r>
          <rPr>
            <sz val="9"/>
            <color indexed="81"/>
            <rFont val="Tahoma"/>
            <family val="2"/>
          </rPr>
          <t xml:space="preserve">
&lt;50 according to UNEP atlas</t>
        </r>
      </text>
    </comment>
    <comment ref="G46" authorId="0" shapeId="0" xr:uid="{00000000-0006-0000-0000-000011000000}">
      <text>
        <r>
          <rPr>
            <b/>
            <sz val="9"/>
            <color indexed="81"/>
            <rFont val="Tahoma"/>
            <family val="2"/>
          </rPr>
          <t>Author:</t>
        </r>
        <r>
          <rPr>
            <sz val="9"/>
            <color indexed="81"/>
            <rFont val="Tahoma"/>
            <family val="2"/>
          </rPr>
          <t xml:space="preserve">
number differs from total summed above here because some of the reef areas are claimed (and used) by multiple countries</t>
        </r>
      </text>
    </comment>
    <comment ref="B49" authorId="0" shapeId="0" xr:uid="{00000000-0006-0000-0000-000012000000}">
      <text>
        <r>
          <rPr>
            <b/>
            <sz val="9"/>
            <color indexed="81"/>
            <rFont val="Tahoma"/>
            <family val="2"/>
          </rPr>
          <t>Author:</t>
        </r>
        <r>
          <rPr>
            <sz val="9"/>
            <color indexed="81"/>
            <rFont val="Tahoma"/>
            <family val="2"/>
          </rPr>
          <t xml:space="preserve">
Spalding et al. 2017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 authorId="0" shapeId="0" xr:uid="{00000000-0006-0000-0100-000001000000}">
      <text>
        <r>
          <rPr>
            <b/>
            <sz val="9"/>
            <color indexed="81"/>
            <rFont val="Tahoma"/>
            <family val="2"/>
          </rPr>
          <t>Author:</t>
        </r>
        <r>
          <rPr>
            <sz val="9"/>
            <color indexed="81"/>
            <rFont val="Tahoma"/>
            <family val="2"/>
          </rPr>
          <t xml:space="preserve">
Spalding et al. 2017
Where possible, data were gathered for all years from 2008 to 2012. Local currency data were converted to historic US dollar values for 30 June of the relevant year. These values were then converted to 2013 values using the Consumer Price Index (CPI) price deflator</t>
        </r>
      </text>
    </comment>
    <comment ref="C1" authorId="0" shapeId="0" xr:uid="{00000000-0006-0000-0100-000002000000}">
      <text>
        <r>
          <rPr>
            <b/>
            <sz val="9"/>
            <color indexed="81"/>
            <rFont val="Tahoma"/>
            <family val="2"/>
          </rPr>
          <t>Author:</t>
        </r>
        <r>
          <rPr>
            <sz val="9"/>
            <color indexed="81"/>
            <rFont val="Tahoma"/>
            <family val="2"/>
          </rPr>
          <t xml:space="preserve">
Spalding et al. 2017</t>
        </r>
      </text>
    </comment>
    <comment ref="B27" authorId="0" shapeId="0" xr:uid="{00000000-0006-0000-0100-000003000000}">
      <text>
        <r>
          <rPr>
            <b/>
            <sz val="9"/>
            <color indexed="81"/>
            <rFont val="Tahoma"/>
            <family val="2"/>
          </rPr>
          <t>Author:</t>
        </r>
        <r>
          <rPr>
            <sz val="9"/>
            <color indexed="81"/>
            <rFont val="Tahoma"/>
            <family val="2"/>
          </rPr>
          <t xml:space="preserve">
Timor tourist arrivals in 2014 were 58000 and for PNG 175000 - assume equal fraction coral tourism</t>
        </r>
      </text>
    </comment>
    <comment ref="B28" authorId="0" shapeId="0" xr:uid="{00000000-0006-0000-0100-000004000000}">
      <text>
        <r>
          <rPr>
            <b/>
            <sz val="9"/>
            <color indexed="81"/>
            <rFont val="Tahoma"/>
            <family val="2"/>
          </rPr>
          <t>Author:</t>
        </r>
        <r>
          <rPr>
            <sz val="9"/>
            <color indexed="81"/>
            <rFont val="Tahoma"/>
            <family val="2"/>
          </rPr>
          <t xml:space="preserve">
American Samoa tourist arrivals in 2014 were 50000 and for Samoa 135000 - assume equal fraction coral tourism</t>
        </r>
      </text>
    </comment>
    <comment ref="B29" authorId="0" shapeId="0" xr:uid="{00000000-0006-0000-0100-000005000000}">
      <text>
        <r>
          <rPr>
            <b/>
            <sz val="9"/>
            <color indexed="81"/>
            <rFont val="Tahoma"/>
            <family val="2"/>
          </rPr>
          <t>Author:</t>
        </r>
        <r>
          <rPr>
            <sz val="9"/>
            <color indexed="81"/>
            <rFont val="Tahoma"/>
            <family val="2"/>
          </rPr>
          <t xml:space="preserve">
Kiribati tourist arrivals in 2014 were 8300 and for Tonga 65800 - assume equal fraction coral tourism</t>
        </r>
      </text>
    </comment>
    <comment ref="B30" authorId="0" shapeId="0" xr:uid="{00000000-0006-0000-0100-000006000000}">
      <text>
        <r>
          <rPr>
            <b/>
            <sz val="9"/>
            <color indexed="81"/>
            <rFont val="Tahoma"/>
            <family val="2"/>
          </rPr>
          <t>Author:</t>
        </r>
        <r>
          <rPr>
            <sz val="9"/>
            <color indexed="81"/>
            <rFont val="Tahoma"/>
            <family val="2"/>
          </rPr>
          <t xml:space="preserve">
Niue tourist arrivals in 2012 were 3200  and for Tonga 57000 - assume equal fraction coral tourism</t>
        </r>
      </text>
    </comment>
    <comment ref="B31" authorId="0" shapeId="0" xr:uid="{00000000-0006-0000-0100-000007000000}">
      <text>
        <r>
          <rPr>
            <b/>
            <sz val="9"/>
            <color indexed="81"/>
            <rFont val="Tahoma"/>
            <family val="2"/>
          </rPr>
          <t>Author:</t>
        </r>
        <r>
          <rPr>
            <sz val="9"/>
            <color indexed="81"/>
            <rFont val="Tahoma"/>
            <family val="2"/>
          </rPr>
          <t xml:space="preserve">
Marshall Islands tourist arrivals in 2014 were 4900 and for Tonga 65800 - assume equal fraction coral tourism</t>
        </r>
      </text>
    </comment>
    <comment ref="B32" authorId="0" shapeId="0" xr:uid="{00000000-0006-0000-0100-000008000000}">
      <text>
        <r>
          <rPr>
            <b/>
            <sz val="9"/>
            <color indexed="81"/>
            <rFont val="Tahoma"/>
            <family val="2"/>
          </rPr>
          <t>Author:</t>
        </r>
        <r>
          <rPr>
            <sz val="9"/>
            <color indexed="81"/>
            <rFont val="Tahoma"/>
            <family val="2"/>
          </rPr>
          <t xml:space="preserve">
Tuvalu tourist arrivals in 2012 were 1100 and for Tonga 57000 - assume equal fraction coral tourism</t>
        </r>
      </text>
    </comment>
    <comment ref="B33" authorId="0" shapeId="0" xr:uid="{00000000-0006-0000-0100-000009000000}">
      <text>
        <r>
          <rPr>
            <b/>
            <sz val="9"/>
            <color indexed="81"/>
            <rFont val="Tahoma"/>
            <family val="2"/>
          </rPr>
          <t>Author:</t>
        </r>
        <r>
          <rPr>
            <sz val="9"/>
            <color indexed="81"/>
            <rFont val="Tahoma"/>
            <family val="2"/>
          </rPr>
          <t xml:space="preserve">
Nauru tourist arrivals in 2012 were 200 and for Tonga 57000 - assume equal fraction coral tourism</t>
        </r>
      </text>
    </comment>
    <comment ref="B34" authorId="0" shapeId="0" xr:uid="{00000000-0006-0000-0100-00000A000000}">
      <text>
        <r>
          <rPr>
            <b/>
            <sz val="9"/>
            <color indexed="81"/>
            <rFont val="Tahoma"/>
            <family val="2"/>
          </rPr>
          <t>Author:</t>
        </r>
        <r>
          <rPr>
            <sz val="9"/>
            <color indexed="81"/>
            <rFont val="Tahoma"/>
            <family val="2"/>
          </rPr>
          <t xml:space="preserve">
Tuvalu tourist arrivals in 2012 were 100 (assumption) and for Tonga 57000 - assume equal fraction coral tourism</t>
        </r>
      </text>
    </comment>
    <comment ref="C44" authorId="0" shapeId="0" xr:uid="{00000000-0006-0000-0100-00000B000000}">
      <text>
        <r>
          <rPr>
            <b/>
            <sz val="9"/>
            <color indexed="81"/>
            <rFont val="Tahoma"/>
            <family val="2"/>
          </rPr>
          <t>Author:</t>
        </r>
        <r>
          <rPr>
            <sz val="9"/>
            <color indexed="81"/>
            <rFont val="Tahoma"/>
            <family val="2"/>
          </rPr>
          <t xml:space="preserve">
Source: Deloitte. (2017). At what price? The economic, social and icon value of the Great Barrier Reef.  P.69</t>
        </r>
      </text>
    </comment>
    <comment ref="C45" authorId="0" shapeId="0" xr:uid="{00000000-0006-0000-0100-00000C000000}">
      <text>
        <r>
          <rPr>
            <b/>
            <sz val="9"/>
            <color indexed="81"/>
            <rFont val="Tahoma"/>
            <family val="2"/>
          </rPr>
          <t>Author:</t>
        </r>
        <r>
          <rPr>
            <sz val="9"/>
            <color indexed="81"/>
            <rFont val="Tahoma"/>
            <family val="2"/>
          </rPr>
          <t xml:space="preserve">
Source: Deloitte. (2017). At what price? The economic, social and icon value of the Great Barrier Reef.  P.69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 authorId="0" shapeId="0" xr:uid="{00000000-0006-0000-0200-000001000000}">
      <text>
        <r>
          <rPr>
            <b/>
            <sz val="9"/>
            <color indexed="81"/>
            <rFont val="Tahoma"/>
            <family val="2"/>
          </rPr>
          <t>Author:</t>
        </r>
        <r>
          <rPr>
            <sz val="9"/>
            <color indexed="81"/>
            <rFont val="Tahoma"/>
            <family val="2"/>
          </rPr>
          <t xml:space="preserve">
source: sea around us Database
avg over years 2008 to 2012</t>
        </r>
      </text>
    </comment>
    <comment ref="D2" authorId="0" shapeId="0" xr:uid="{00000000-0006-0000-0200-000002000000}">
      <text>
        <r>
          <rPr>
            <b/>
            <sz val="9"/>
            <color indexed="81"/>
            <rFont val="Tahoma"/>
            <family val="2"/>
          </rPr>
          <t>Author:</t>
        </r>
        <r>
          <rPr>
            <sz val="9"/>
            <color indexed="81"/>
            <rFont val="Tahoma"/>
            <family val="2"/>
          </rPr>
          <t xml:space="preserve">
= artisanal + subsistence (total)
total includes recreational and industrial
Source: estimated from Sea Around Us</t>
        </r>
      </text>
    </comment>
    <comment ref="B39" authorId="0" shapeId="0" xr:uid="{00000000-0006-0000-0200-000003000000}">
      <text>
        <r>
          <rPr>
            <b/>
            <sz val="9"/>
            <color indexed="81"/>
            <rFont val="Tahoma"/>
            <family val="2"/>
          </rPr>
          <t>Author:</t>
        </r>
        <r>
          <rPr>
            <sz val="9"/>
            <color indexed="81"/>
            <rFont val="Tahoma"/>
            <family val="2"/>
          </rPr>
          <t xml:space="preserve">
India + Andaman&amp;Nicobar Islands
(separate in Sea Around Us)</t>
        </r>
      </text>
    </comment>
    <comment ref="C48" authorId="0" shapeId="0" xr:uid="{00000000-0006-0000-0200-000004000000}">
      <text>
        <r>
          <rPr>
            <b/>
            <sz val="9"/>
            <color indexed="81"/>
            <rFont val="Tahoma"/>
            <family val="2"/>
          </rPr>
          <t>Author:</t>
        </r>
        <r>
          <rPr>
            <sz val="9"/>
            <color indexed="81"/>
            <rFont val="Tahoma"/>
            <family val="2"/>
          </rPr>
          <t xml:space="preserve">
Source: Deloitte. (2017). At what price? The economic, social and icon value of the Great Barrier Reef.  P.69</t>
        </r>
      </text>
    </comment>
    <comment ref="C49" authorId="0" shapeId="0" xr:uid="{00000000-0006-0000-0200-000005000000}">
      <text>
        <r>
          <rPr>
            <b/>
            <sz val="9"/>
            <color indexed="81"/>
            <rFont val="Tahoma"/>
            <family val="2"/>
          </rPr>
          <t>Author:</t>
        </r>
        <r>
          <rPr>
            <sz val="9"/>
            <color indexed="81"/>
            <rFont val="Tahoma"/>
            <family val="2"/>
          </rPr>
          <t xml:space="preserve">
Source: Deloitte. (2017). At what price? The economic, social and icon value of the Great Barrier Reef.  P.69</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2" authorId="0" shapeId="0" xr:uid="{00000000-0006-0000-0500-000001000000}">
      <text>
        <r>
          <rPr>
            <b/>
            <sz val="9"/>
            <color indexed="81"/>
            <rFont val="Tahoma"/>
            <family val="2"/>
          </rPr>
          <t>Author:</t>
        </r>
        <r>
          <rPr>
            <sz val="9"/>
            <color indexed="81"/>
            <rFont val="Tahoma"/>
            <family val="2"/>
          </rPr>
          <t xml:space="preserve">
Total according to UNEP World Reef Atlas</t>
        </r>
      </text>
    </comment>
    <comment ref="I24" authorId="0" shapeId="0" xr:uid="{00000000-0006-0000-0500-000002000000}">
      <text>
        <r>
          <rPr>
            <b/>
            <sz val="9"/>
            <color indexed="81"/>
            <rFont val="Tahoma"/>
            <family val="2"/>
          </rPr>
          <t>Author:</t>
        </r>
        <r>
          <rPr>
            <sz val="9"/>
            <color indexed="81"/>
            <rFont val="Tahoma"/>
            <family val="2"/>
          </rPr>
          <t xml:space="preserve">
https://conbio.onlinelibrary.wiley.com/doi/full/10.1111/j.1523-1739.2012.01957.x</t>
        </r>
      </text>
    </comment>
  </commentList>
</comments>
</file>

<file path=xl/sharedStrings.xml><?xml version="1.0" encoding="utf-8"?>
<sst xmlns="http://schemas.openxmlformats.org/spreadsheetml/2006/main" count="333" uniqueCount="136">
  <si>
    <t>Australia</t>
  </si>
  <si>
    <t>Brunei</t>
  </si>
  <si>
    <t>Cambodia</t>
  </si>
  <si>
    <t>China</t>
  </si>
  <si>
    <t>Cook Islands</t>
  </si>
  <si>
    <t>Fiji</t>
  </si>
  <si>
    <t>French Polynesia</t>
  </si>
  <si>
    <t>Guam</t>
  </si>
  <si>
    <t>Indonesia</t>
  </si>
  <si>
    <t>Japan</t>
  </si>
  <si>
    <t>Malaysia</t>
  </si>
  <si>
    <t>Micronesia</t>
  </si>
  <si>
    <t>New Caledonia</t>
  </si>
  <si>
    <t>Northern Mariana Islands</t>
  </si>
  <si>
    <t>Palau</t>
  </si>
  <si>
    <t>Papua New Guinea</t>
  </si>
  <si>
    <t>Philippines</t>
  </si>
  <si>
    <t>Samoa</t>
  </si>
  <si>
    <t>Solomon Islands</t>
  </si>
  <si>
    <t>Taiwan</t>
  </si>
  <si>
    <t>Thailand</t>
  </si>
  <si>
    <t>Tonga</t>
  </si>
  <si>
    <t>Hawaii</t>
  </si>
  <si>
    <t>Vanuatu</t>
  </si>
  <si>
    <t>Vietnam</t>
  </si>
  <si>
    <t>Total</t>
  </si>
  <si>
    <t>% of GDP</t>
  </si>
  <si>
    <t>Reef area (in sq km)</t>
  </si>
  <si>
    <t>Marshall Islands</t>
  </si>
  <si>
    <t>Kiribati</t>
  </si>
  <si>
    <t>Import share of economy (in year 2014)</t>
  </si>
  <si>
    <t>total income from coral (in million 2019 USD)</t>
  </si>
  <si>
    <t>Economic productivity (in million USD 2019/square km)</t>
  </si>
  <si>
    <t>Reconstructed domestic catch from coral reef fisheries (in million USD, real 2010 value)</t>
  </si>
  <si>
    <t>Source: World Bank, average for years 2008 to 2012, in billion USD (current US$)</t>
  </si>
  <si>
    <t>avg</t>
  </si>
  <si>
    <t>source other than WB</t>
  </si>
  <si>
    <t>http://data.un.org/</t>
  </si>
  <si>
    <t>https://eng.stat.gov.tw/</t>
  </si>
  <si>
    <t>https://fred.stlouisfed.org/series/HINGSP</t>
  </si>
  <si>
    <t>income from tourism (in million USD, 2019 value)</t>
  </si>
  <si>
    <t>income from tourism (in $1000 USD, 2013 value)</t>
  </si>
  <si>
    <t>Income from tourism, fisheries, import fractions and GDP are all averaged over years 2008 to 2012</t>
  </si>
  <si>
    <t>Source: World Bank, average for years 2008 to 2012, in %</t>
  </si>
  <si>
    <t>na</t>
  </si>
  <si>
    <t>2004 value World Bank (latest available)</t>
  </si>
  <si>
    <t>assume all as 2008, later values go higher than 1, WB data</t>
  </si>
  <si>
    <t>assume equal to tonga</t>
  </si>
  <si>
    <t>assume equal to fiji</t>
  </si>
  <si>
    <t>assume equal to Guam</t>
  </si>
  <si>
    <t>assume equal to China</t>
  </si>
  <si>
    <t>Source: http://coral.unep.ch/atlaspr.htm</t>
  </si>
  <si>
    <t>Global total reef area</t>
  </si>
  <si>
    <t>square km</t>
  </si>
  <si>
    <t>Regional total reef area (in sq km)</t>
  </si>
  <si>
    <t>australia</t>
  </si>
  <si>
    <t>indonesia</t>
  </si>
  <si>
    <t>philippines</t>
  </si>
  <si>
    <t>PNG</t>
  </si>
  <si>
    <t>solomon islands</t>
  </si>
  <si>
    <t>Federated States of Micronesia</t>
  </si>
  <si>
    <t>vanuatu</t>
  </si>
  <si>
    <t>kiribati</t>
  </si>
  <si>
    <t>japan</t>
  </si>
  <si>
    <t>malaysia</t>
  </si>
  <si>
    <t>tonga</t>
  </si>
  <si>
    <t>thailand</t>
  </si>
  <si>
    <t>new zealand</t>
  </si>
  <si>
    <t>vietnam</t>
  </si>
  <si>
    <t>hawaii</t>
  </si>
  <si>
    <t>spratly islands</t>
  </si>
  <si>
    <t>Wallis and Futuna (France)</t>
  </si>
  <si>
    <t>taiwan</t>
  </si>
  <si>
    <t>Tokelau, Samoa &amp; American Samoa</t>
  </si>
  <si>
    <t>tuvalu</t>
  </si>
  <si>
    <t>Johnston Island (USA)</t>
  </si>
  <si>
    <t>brunei</t>
  </si>
  <si>
    <t>Niue</t>
  </si>
  <si>
    <t>unep report mentions &lt;50 sq km</t>
  </si>
  <si>
    <t>Total (in billion)</t>
  </si>
  <si>
    <t>East Timor</t>
  </si>
  <si>
    <t>American Samoa</t>
  </si>
  <si>
    <t>Tuvalu</t>
  </si>
  <si>
    <t>assume all as Marshall Islands, WB data is higher than 1</t>
  </si>
  <si>
    <t>assume equal to marshall islands</t>
  </si>
  <si>
    <t>New Zealand (including Niue, Tokelau &amp; Kermedec Island)</t>
  </si>
  <si>
    <t>Nauru</t>
  </si>
  <si>
    <t>assume 10 million GDP for Niue and Tokelau each</t>
  </si>
  <si>
    <t>490 for Samoa according to unep, 220 for American Samoa and &lt;50 for Tokelau</t>
  </si>
  <si>
    <t>Landings</t>
  </si>
  <si>
    <t>(direct) Value added share of coral reef tourism</t>
  </si>
  <si>
    <t>(indirect) Value added share of coral reef tourism</t>
  </si>
  <si>
    <t>Income from tourism, (direct) value added</t>
  </si>
  <si>
    <t>Income from tourism, (indirect) value added</t>
  </si>
  <si>
    <t>total income from tourism, value added (in million USD, 2019 value)</t>
  </si>
  <si>
    <t>SUM</t>
  </si>
  <si>
    <t>(direct) Value added share of coral reef fisheries</t>
  </si>
  <si>
    <t>(indirect) Value added share of coral reef fisheries</t>
  </si>
  <si>
    <t>Sum value added</t>
  </si>
  <si>
    <t>value added to outside-country</t>
  </si>
  <si>
    <t>(large share of this likely spend within the Asia Pacific as well, so might contribute to GDP as well)</t>
  </si>
  <si>
    <t>FAO works with similar value added rations, i.e. 55-70%, for small-scale commercial fishing and motorized subsistence fishing</t>
  </si>
  <si>
    <t>income from fisheries (in million USD, 2019 value)</t>
  </si>
  <si>
    <t>total income from fisheries, value added (in million USD, 2019 value)</t>
  </si>
  <si>
    <t>GDP avg for 2008-2012 (current USD in million)</t>
  </si>
  <si>
    <t>Unassigned value added</t>
  </si>
  <si>
    <t>Unassigned</t>
  </si>
  <si>
    <t>global</t>
  </si>
  <si>
    <t>Pacific share</t>
  </si>
  <si>
    <t>India</t>
  </si>
  <si>
    <t>Myanmar</t>
  </si>
  <si>
    <t>Maldives</t>
  </si>
  <si>
    <t>Sri Lanka</t>
  </si>
  <si>
    <t>Bangladesh</t>
  </si>
  <si>
    <t>Singapore</t>
  </si>
  <si>
    <t>Pakistan</t>
  </si>
  <si>
    <t>195 million in 2005, assume around 200 million on average in 2008-12 period Source: https://www.cia.gov/the-world-factbook/countries/wallis-and-futuna/#economy</t>
  </si>
  <si>
    <t>Informal fisheries share (artisanal + subsistence)</t>
  </si>
  <si>
    <t>Assumption: informal fisheries value added</t>
  </si>
  <si>
    <t>(they will built their own boats and equipment - all value stays within community)</t>
  </si>
  <si>
    <t>Income from artisanal and subsistence reef fisheries, (direct) value added (in million USD, 2019 value)</t>
  </si>
  <si>
    <t>Income from industrial and recreational reef fisheries, (direct) value added (in million USD, 2019 value)</t>
  </si>
  <si>
    <t>Income from industrial and recreational reef fisheries, (indirect) value added (in million USD, 2019 value)</t>
  </si>
  <si>
    <t>Niue, Tokelau &amp; Kermedec Island (NZ)</t>
  </si>
  <si>
    <t>fish_gdp</t>
  </si>
  <si>
    <t>tour_gdp</t>
  </si>
  <si>
    <t>fish_prod</t>
  </si>
  <si>
    <t>tour_prod</t>
  </si>
  <si>
    <t>includes some disputed areas like the Spratly Islands in the South China Sea</t>
  </si>
  <si>
    <t>share of global reef area</t>
  </si>
  <si>
    <t>Total reef area APAC</t>
  </si>
  <si>
    <t>n/a</t>
  </si>
  <si>
    <t>New Zealand (Niue, Tokelau &amp; Kermedec Island)</t>
  </si>
  <si>
    <t>unep report mentions &lt;50 sq km, but this disconfirmed by Allan Atlas and other sources, noticing that Pakistan has more coral reef surface than initially thought (manually calculated from Allan Atlas which indicates about 75-100 km2)</t>
  </si>
  <si>
    <t>TOTAL INDUSTRIAL VA</t>
  </si>
  <si>
    <t>Wallis &amp; Futuna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</si>
</sst>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9"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
      <i/>
      <sz val="11"/>
      <color theme="1"/>
      <name val="Calibri"/>
      <family val="2"/>
      <scheme val="minor"/>
    </font>
    <font>
      <u/>
      <sz val="11"/>
      <color theme="10"/>
      <name val="Calibri"/>
      <family val="2"/>
      <scheme val="minor"/>
    </font>
    <font>
      <sz val="11"/>
      <color rgb="FFFF0000"/>
      <name val="Calibri"/>
      <family val="2"/>
      <scheme val="minor"/>
    </font>
    <font>
      <sz val="11"/>
      <name val="Calibri"/>
      <family val="2"/>
      <scheme val="minor"/>
    </font>
    <font>
      <b/>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31">
    <xf numFmtId="0" fontId="0" fillId="0" borderId="0" xfId="0"/>
    <xf numFmtId="164" fontId="0" fillId="0" borderId="0" xfId="0" applyNumberFormat="1"/>
    <xf numFmtId="0" fontId="0" fillId="0" borderId="0" xfId="0" applyFill="1"/>
    <xf numFmtId="1" fontId="0" fillId="0" borderId="0" xfId="0" applyNumberFormat="1"/>
    <xf numFmtId="2" fontId="0" fillId="0" borderId="0" xfId="0" applyNumberFormat="1"/>
    <xf numFmtId="164" fontId="0" fillId="0" borderId="0" xfId="0" applyNumberFormat="1" applyFill="1"/>
    <xf numFmtId="1" fontId="0" fillId="0" borderId="0" xfId="0" applyNumberFormat="1" applyFill="1"/>
    <xf numFmtId="0" fontId="3" fillId="0" borderId="0" xfId="0" applyFont="1"/>
    <xf numFmtId="0" fontId="0" fillId="0" borderId="0" xfId="0" applyFont="1"/>
    <xf numFmtId="1" fontId="0" fillId="0" borderId="0" xfId="0" applyNumberFormat="1" applyFont="1"/>
    <xf numFmtId="1" fontId="3" fillId="0" borderId="0" xfId="0" applyNumberFormat="1" applyFont="1"/>
    <xf numFmtId="164" fontId="4" fillId="0" borderId="0" xfId="0" applyNumberFormat="1" applyFont="1"/>
    <xf numFmtId="164" fontId="3" fillId="0" borderId="0" xfId="0" applyNumberFormat="1" applyFont="1"/>
    <xf numFmtId="2" fontId="3" fillId="0" borderId="0" xfId="0" applyNumberFormat="1" applyFont="1"/>
    <xf numFmtId="0" fontId="5" fillId="0" borderId="0" xfId="1"/>
    <xf numFmtId="1" fontId="3" fillId="0" borderId="0" xfId="0" applyNumberFormat="1" applyFont="1" applyAlignment="1">
      <alignment horizontal="center"/>
    </xf>
    <xf numFmtId="10" fontId="0" fillId="0" borderId="0" xfId="0" applyNumberFormat="1"/>
    <xf numFmtId="10" fontId="3" fillId="0" borderId="0" xfId="0" applyNumberFormat="1" applyFont="1"/>
    <xf numFmtId="2" fontId="6" fillId="0" borderId="0" xfId="0" applyNumberFormat="1" applyFont="1"/>
    <xf numFmtId="1" fontId="6" fillId="0" borderId="0" xfId="0" applyNumberFormat="1" applyFont="1"/>
    <xf numFmtId="0" fontId="7" fillId="0" borderId="0" xfId="0" applyFont="1"/>
    <xf numFmtId="164" fontId="7" fillId="0" borderId="0" xfId="0" applyNumberFormat="1" applyFont="1"/>
    <xf numFmtId="1" fontId="7" fillId="0" borderId="0" xfId="0" applyNumberFormat="1" applyFont="1"/>
    <xf numFmtId="1" fontId="7" fillId="0" borderId="0" xfId="0" applyNumberFormat="1" applyFont="1" applyFill="1"/>
    <xf numFmtId="1" fontId="8" fillId="0" borderId="0" xfId="0" applyNumberFormat="1" applyFont="1"/>
    <xf numFmtId="165" fontId="0" fillId="0" borderId="0" xfId="0" applyNumberFormat="1" applyFill="1"/>
    <xf numFmtId="165" fontId="3" fillId="0" borderId="0" xfId="0" applyNumberFormat="1" applyFont="1" applyFill="1"/>
    <xf numFmtId="1" fontId="3" fillId="0" borderId="0" xfId="0" applyNumberFormat="1" applyFont="1" applyFill="1"/>
    <xf numFmtId="2" fontId="0" fillId="0" borderId="0" xfId="0" applyNumberFormat="1" applyFill="1"/>
    <xf numFmtId="2" fontId="6" fillId="0" borderId="0" xfId="0" applyNumberFormat="1" applyFont="1" applyFill="1"/>
    <xf numFmtId="2" fontId="3" fillId="0" borderId="0" xfId="0" applyNumberFormat="1"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data.un.org/" TargetMode="External"/><Relationship Id="rId2" Type="http://schemas.openxmlformats.org/officeDocument/2006/relationships/hyperlink" Target="https://fred.stlouisfed.org/series/HINGSP" TargetMode="External"/><Relationship Id="rId1" Type="http://schemas.openxmlformats.org/officeDocument/2006/relationships/hyperlink" Target="https://eng.stat.gov.tw/"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topLeftCell="A19" zoomScale="90" zoomScaleNormal="90" workbookViewId="0">
      <pane xSplit="1" topLeftCell="B1" activePane="topRight" state="frozen"/>
      <selection pane="topRight" activeCell="H40" sqref="H40"/>
    </sheetView>
  </sheetViews>
  <sheetFormatPr defaultRowHeight="15" x14ac:dyDescent="0.25"/>
  <cols>
    <col min="1" max="1" width="23.85546875" customWidth="1"/>
    <col min="2" max="2" width="42.42578125" style="3" bestFit="1" customWidth="1"/>
    <col min="3" max="3" width="43.140625" style="9" bestFit="1" customWidth="1"/>
    <col min="4" max="4" width="39.85546875" style="3" bestFit="1" customWidth="1"/>
    <col min="5" max="5" width="40.85546875" bestFit="1" customWidth="1"/>
    <col min="6" max="6" width="8.7109375" style="25"/>
    <col min="7" max="7" width="17.85546875" bestFit="1" customWidth="1"/>
    <col min="8" max="8" width="25.28515625" style="2" bestFit="1" customWidth="1"/>
    <col min="10" max="11" width="9.140625" style="16"/>
    <col min="12" max="13" width="9.140625" style="4"/>
  </cols>
  <sheetData>
    <row r="1" spans="1:13" x14ac:dyDescent="0.25">
      <c r="A1" t="s">
        <v>42</v>
      </c>
    </row>
    <row r="3" spans="1:13" x14ac:dyDescent="0.25">
      <c r="B3" s="3" t="str">
        <f>Tourism!G1</f>
        <v>total income from tourism, value added (in million USD, 2019 value)</v>
      </c>
      <c r="C3" s="9" t="str">
        <f>Fisheries!I2</f>
        <v>total income from fisheries, value added (in million USD, 2019 value)</v>
      </c>
      <c r="D3" s="10" t="s">
        <v>31</v>
      </c>
      <c r="E3" t="s">
        <v>104</v>
      </c>
      <c r="F3" s="25" t="s">
        <v>26</v>
      </c>
      <c r="G3" t="s">
        <v>27</v>
      </c>
      <c r="H3" s="2" t="s">
        <v>32</v>
      </c>
      <c r="J3" s="16" t="s">
        <v>124</v>
      </c>
      <c r="K3" s="16" t="s">
        <v>125</v>
      </c>
      <c r="L3" s="4" t="s">
        <v>126</v>
      </c>
      <c r="M3" s="4" t="s">
        <v>127</v>
      </c>
    </row>
    <row r="4" spans="1:13" x14ac:dyDescent="0.25">
      <c r="A4" s="2" t="s">
        <v>8</v>
      </c>
      <c r="B4" s="3">
        <f>Tourism!G4</f>
        <v>2342.3871073587557</v>
      </c>
      <c r="C4" s="9">
        <f>Fisheries!I5</f>
        <v>922.55007254155407</v>
      </c>
      <c r="D4" s="10">
        <f>B4+C4</f>
        <v>3264.9371799003097</v>
      </c>
      <c r="E4" s="3">
        <f>'GDP avg'!H11*1000</f>
        <v>723200</v>
      </c>
      <c r="F4" s="25">
        <f t="shared" ref="F4:F13" si="0">D4/E4</f>
        <v>4.5145702155701189E-3</v>
      </c>
      <c r="G4" s="3">
        <f>'surface area'!H6</f>
        <v>51020</v>
      </c>
      <c r="H4" s="28">
        <f t="shared" ref="H4:H13" si="1">D4/G4</f>
        <v>6.3993280672291444E-2</v>
      </c>
      <c r="J4" s="16">
        <f t="shared" ref="J4:J13" si="2">C4/E4</f>
        <v>1.2756499896868835E-3</v>
      </c>
      <c r="K4" s="16">
        <f t="shared" ref="K4:K13" si="3">B4/E4</f>
        <v>3.238920225883235E-3</v>
      </c>
      <c r="L4" s="4">
        <f t="shared" ref="L4:L13" si="4">C4/G4</f>
        <v>1.8082126078823091E-2</v>
      </c>
      <c r="M4" s="4">
        <f t="shared" ref="M4:M13" si="5">B4/G4</f>
        <v>4.591115459346836E-2</v>
      </c>
    </row>
    <row r="5" spans="1:13" x14ac:dyDescent="0.25">
      <c r="A5" s="2" t="s">
        <v>3</v>
      </c>
      <c r="B5" s="3">
        <f>Tourism!G2</f>
        <v>1445.6925041420213</v>
      </c>
      <c r="C5" s="9">
        <f>Fisheries!I3</f>
        <v>1077.3989361507975</v>
      </c>
      <c r="D5" s="10">
        <f t="shared" ref="D5" si="6">B5+C5</f>
        <v>2523.0914402928188</v>
      </c>
      <c r="E5" s="3">
        <f>'GDP avg'!H6*1000</f>
        <v>6373400</v>
      </c>
      <c r="F5" s="25">
        <f t="shared" si="0"/>
        <v>3.9587840717557641E-4</v>
      </c>
      <c r="G5" s="3">
        <f>'surface area'!I24</f>
        <v>30000</v>
      </c>
      <c r="H5" s="28">
        <f t="shared" si="1"/>
        <v>8.4103048009760623E-2</v>
      </c>
      <c r="J5" s="16">
        <f t="shared" si="2"/>
        <v>1.6904618196736395E-4</v>
      </c>
      <c r="K5" s="16">
        <f t="shared" si="3"/>
        <v>2.2683222520821246E-4</v>
      </c>
      <c r="L5" s="4">
        <f t="shared" si="4"/>
        <v>3.5913297871693249E-2</v>
      </c>
      <c r="M5" s="4">
        <f t="shared" si="5"/>
        <v>4.818975013806738E-2</v>
      </c>
    </row>
    <row r="6" spans="1:13" x14ac:dyDescent="0.25">
      <c r="A6" s="2" t="s">
        <v>0</v>
      </c>
      <c r="B6" s="3">
        <f>Tourism!G9</f>
        <v>1735.2056627470984</v>
      </c>
      <c r="C6" s="9">
        <f>Fisheries!I10</f>
        <v>120.60571835203912</v>
      </c>
      <c r="D6" s="10">
        <f t="shared" ref="D6:D13" si="7">B6+C6</f>
        <v>1855.8113810991374</v>
      </c>
      <c r="E6" s="3">
        <f>'GDP avg'!H3*1000</f>
        <v>1214200</v>
      </c>
      <c r="F6" s="25">
        <f t="shared" si="0"/>
        <v>1.5284231437153167E-3</v>
      </c>
      <c r="G6" s="3">
        <f>'surface area'!H7</f>
        <v>48960</v>
      </c>
      <c r="H6" s="28">
        <f t="shared" si="1"/>
        <v>3.790464422179611E-2</v>
      </c>
      <c r="J6" s="16">
        <f t="shared" si="2"/>
        <v>9.9329367774698659E-5</v>
      </c>
      <c r="K6" s="16">
        <f t="shared" si="3"/>
        <v>1.429093775940618E-3</v>
      </c>
      <c r="L6" s="4">
        <f t="shared" si="4"/>
        <v>2.4633520905236747E-3</v>
      </c>
      <c r="M6" s="4">
        <f t="shared" si="5"/>
        <v>3.5441292131272437E-2</v>
      </c>
    </row>
    <row r="7" spans="1:13" x14ac:dyDescent="0.25">
      <c r="A7" s="2" t="s">
        <v>10</v>
      </c>
      <c r="B7" s="3">
        <f>Tourism!G7</f>
        <v>584.44415185132016</v>
      </c>
      <c r="C7" s="9">
        <f>Fisheries!I8</f>
        <v>886.47552506515876</v>
      </c>
      <c r="D7" s="10">
        <f t="shared" si="7"/>
        <v>1470.9196769164789</v>
      </c>
      <c r="E7" s="3">
        <f>'GDP avg'!H13*1000</f>
        <v>260000</v>
      </c>
      <c r="F7" s="25">
        <f t="shared" si="0"/>
        <v>5.6573833727556885E-3</v>
      </c>
      <c r="G7" s="3">
        <f>'surface area'!H19</f>
        <v>3600</v>
      </c>
      <c r="H7" s="28">
        <f t="shared" si="1"/>
        <v>0.40858879914346635</v>
      </c>
      <c r="J7" s="16">
        <f t="shared" si="2"/>
        <v>3.4095212502506106E-3</v>
      </c>
      <c r="K7" s="16">
        <f t="shared" si="3"/>
        <v>2.2478621225050775E-3</v>
      </c>
      <c r="L7" s="4">
        <f t="shared" si="4"/>
        <v>0.24624320140698855</v>
      </c>
      <c r="M7" s="4">
        <f t="shared" si="5"/>
        <v>0.16234559773647783</v>
      </c>
    </row>
    <row r="8" spans="1:13" x14ac:dyDescent="0.25">
      <c r="A8" s="2" t="s">
        <v>20</v>
      </c>
      <c r="B8" s="3">
        <f>Tourism!G8</f>
        <v>1258.9920270627958</v>
      </c>
      <c r="C8" s="9">
        <f>Fisheries!I9</f>
        <v>171.65682305343736</v>
      </c>
      <c r="D8" s="10">
        <f t="shared" si="7"/>
        <v>1430.6488501162332</v>
      </c>
      <c r="E8" s="3">
        <f>'GDP avg'!H23*1000</f>
        <v>336600</v>
      </c>
      <c r="F8" s="25">
        <f t="shared" si="0"/>
        <v>4.2502936723595756E-3</v>
      </c>
      <c r="G8" s="3">
        <f>'surface area'!H22</f>
        <v>2130</v>
      </c>
      <c r="H8" s="28">
        <f t="shared" si="1"/>
        <v>0.67166612681513294</v>
      </c>
      <c r="J8" s="16">
        <f t="shared" si="2"/>
        <v>5.0997273634413955E-4</v>
      </c>
      <c r="K8" s="16">
        <f t="shared" si="3"/>
        <v>3.7403209360154363E-3</v>
      </c>
      <c r="L8" s="4">
        <f t="shared" si="4"/>
        <v>8.0590057771566831E-2</v>
      </c>
      <c r="M8" s="4">
        <f t="shared" si="5"/>
        <v>0.59107606904356613</v>
      </c>
    </row>
    <row r="9" spans="1:13" x14ac:dyDescent="0.25">
      <c r="A9" s="2" t="s">
        <v>16</v>
      </c>
      <c r="B9" s="3">
        <f>Tourism!G6</f>
        <v>921.23304569761513</v>
      </c>
      <c r="C9" s="9">
        <f>Fisheries!I7</f>
        <v>383.52309625176974</v>
      </c>
      <c r="D9" s="10">
        <f t="shared" si="7"/>
        <v>1304.756141949385</v>
      </c>
      <c r="E9" s="3">
        <f>'GDP avg'!H19*1000</f>
        <v>212200</v>
      </c>
      <c r="F9" s="25">
        <f t="shared" si="0"/>
        <v>6.1487094342572339E-3</v>
      </c>
      <c r="G9" s="3">
        <f>'surface area'!H8</f>
        <v>25060</v>
      </c>
      <c r="H9" s="28">
        <f t="shared" si="1"/>
        <v>5.2065288984412809E-2</v>
      </c>
      <c r="J9" s="16">
        <f t="shared" si="2"/>
        <v>1.8073661463325623E-3</v>
      </c>
      <c r="K9" s="16">
        <f t="shared" si="3"/>
        <v>4.3413432879246703E-3</v>
      </c>
      <c r="L9" s="4">
        <f t="shared" si="4"/>
        <v>1.5304193784986821E-2</v>
      </c>
      <c r="M9" s="4">
        <f t="shared" si="5"/>
        <v>3.6761095199425983E-2</v>
      </c>
    </row>
    <row r="10" spans="1:13" x14ac:dyDescent="0.25">
      <c r="A10" s="2" t="s">
        <v>9</v>
      </c>
      <c r="B10" s="3">
        <f>Tourism!G3</f>
        <v>1160.5720303250437</v>
      </c>
      <c r="C10" s="9">
        <f>Fisheries!I4</f>
        <v>117.0233443816532</v>
      </c>
      <c r="D10" s="10">
        <f t="shared" si="7"/>
        <v>1277.5953747066969</v>
      </c>
      <c r="E10" s="3">
        <f>'GDP avg'!H12*1000</f>
        <v>5665800</v>
      </c>
      <c r="F10" s="25">
        <f t="shared" si="0"/>
        <v>2.2549249438855889E-4</v>
      </c>
      <c r="G10" s="3">
        <f>'surface area'!H21</f>
        <v>2899.86</v>
      </c>
      <c r="H10" s="28">
        <f t="shared" si="1"/>
        <v>0.44057139817325558</v>
      </c>
      <c r="J10" s="16">
        <f t="shared" si="2"/>
        <v>2.065433731894052E-5</v>
      </c>
      <c r="K10" s="16">
        <f t="shared" si="3"/>
        <v>2.0483815706961835E-4</v>
      </c>
      <c r="L10" s="4">
        <f t="shared" si="4"/>
        <v>4.0354825536975301E-2</v>
      </c>
      <c r="M10" s="4">
        <f t="shared" si="5"/>
        <v>0.40021657263628024</v>
      </c>
    </row>
    <row r="11" spans="1:13" x14ac:dyDescent="0.25">
      <c r="A11" s="2" t="s">
        <v>22</v>
      </c>
      <c r="B11" s="3">
        <f>Tourism!G10</f>
        <v>664.61078905814031</v>
      </c>
      <c r="C11" s="9">
        <f>Fisheries!I11</f>
        <v>10.954203577156528</v>
      </c>
      <c r="D11" s="10">
        <f t="shared" si="7"/>
        <v>675.56499263529679</v>
      </c>
      <c r="E11" s="3">
        <f>'GDP avg'!H25*1000</f>
        <v>69039.999999999985</v>
      </c>
      <c r="F11" s="25">
        <f t="shared" si="0"/>
        <v>9.7851244587963057E-3</v>
      </c>
      <c r="G11" s="3">
        <f>'surface area'!H28</f>
        <v>1180</v>
      </c>
      <c r="H11" s="28">
        <f t="shared" si="1"/>
        <v>0.57251270562313283</v>
      </c>
      <c r="J11" s="16">
        <f t="shared" si="2"/>
        <v>1.58664594107134E-4</v>
      </c>
      <c r="K11" s="16">
        <f t="shared" si="3"/>
        <v>9.6264598646891731E-3</v>
      </c>
      <c r="L11" s="4">
        <f t="shared" si="4"/>
        <v>9.2832233704716344E-3</v>
      </c>
      <c r="M11" s="4">
        <f t="shared" si="5"/>
        <v>0.56322948225266123</v>
      </c>
    </row>
    <row r="12" spans="1:13" x14ac:dyDescent="0.25">
      <c r="A12" s="2" t="s">
        <v>111</v>
      </c>
      <c r="B12" s="3">
        <f>Tourism!G37</f>
        <v>545.83251664219711</v>
      </c>
      <c r="C12" s="9">
        <f>Fisheries!I38</f>
        <v>74.542363265592485</v>
      </c>
      <c r="D12" s="10">
        <f t="shared" si="7"/>
        <v>620.37487990778959</v>
      </c>
      <c r="E12" s="3">
        <f>'GDP avg'!H38*1000</f>
        <v>2574.0000000000005</v>
      </c>
      <c r="F12" s="25">
        <f t="shared" si="0"/>
        <v>0.24101588186005807</v>
      </c>
      <c r="G12" s="3">
        <v>8920</v>
      </c>
      <c r="H12" s="28">
        <f t="shared" si="1"/>
        <v>6.9548753352891207E-2</v>
      </c>
      <c r="J12" s="16">
        <f t="shared" si="2"/>
        <v>2.8959737088419764E-2</v>
      </c>
      <c r="K12" s="16">
        <f t="shared" si="3"/>
        <v>0.21205614477163831</v>
      </c>
      <c r="L12" s="4">
        <f t="shared" si="4"/>
        <v>8.3567671822413099E-3</v>
      </c>
      <c r="M12" s="4">
        <f t="shared" si="5"/>
        <v>6.1191986170649901E-2</v>
      </c>
    </row>
    <row r="13" spans="1:13" x14ac:dyDescent="0.25">
      <c r="A13" s="2" t="s">
        <v>109</v>
      </c>
      <c r="B13" s="3">
        <f>Tourism!G38</f>
        <v>338.93838898707975</v>
      </c>
      <c r="C13" s="9">
        <f>Fisheries!I39</f>
        <v>232.32737504721442</v>
      </c>
      <c r="D13" s="10">
        <f t="shared" si="7"/>
        <v>571.26576403429419</v>
      </c>
      <c r="E13" s="3">
        <f>'GDP avg'!H39*1000</f>
        <v>1573600</v>
      </c>
      <c r="F13" s="25">
        <f t="shared" si="0"/>
        <v>3.6303111593435065E-4</v>
      </c>
      <c r="G13" s="3">
        <v>5790</v>
      </c>
      <c r="H13" s="28">
        <f t="shared" si="1"/>
        <v>9.8664207950655294E-2</v>
      </c>
      <c r="J13" s="16">
        <f t="shared" si="2"/>
        <v>1.476406806349863E-4</v>
      </c>
      <c r="K13" s="16">
        <f t="shared" si="3"/>
        <v>2.1539043529936435E-4</v>
      </c>
      <c r="L13" s="4">
        <f t="shared" si="4"/>
        <v>4.0125626087601798E-2</v>
      </c>
      <c r="M13" s="4">
        <f t="shared" si="5"/>
        <v>5.8538581863053496E-2</v>
      </c>
    </row>
    <row r="14" spans="1:13" x14ac:dyDescent="0.25">
      <c r="A14" s="2" t="s">
        <v>24</v>
      </c>
      <c r="B14" s="3">
        <f>Tourism!G5</f>
        <v>68.208246410635567</v>
      </c>
      <c r="C14" s="9">
        <f>Fisheries!I6</f>
        <v>299.20657288372752</v>
      </c>
      <c r="D14" s="10">
        <f t="shared" ref="D14" si="8">B14+C14</f>
        <v>367.4148192943631</v>
      </c>
      <c r="E14" s="3">
        <f>'GDP avg'!H27*1000</f>
        <v>122600</v>
      </c>
      <c r="F14" s="25">
        <f t="shared" ref="F14" si="9">D14/E14</f>
        <v>2.9968582324173174E-3</v>
      </c>
      <c r="G14" s="3">
        <f>'surface area'!H27</f>
        <v>1270</v>
      </c>
      <c r="H14" s="28">
        <f t="shared" ref="H14" si="10">D14/G14</f>
        <v>0.28930300731839614</v>
      </c>
      <c r="J14" s="16">
        <f t="shared" ref="J14" si="11">C14/E14</f>
        <v>2.4405103824121331E-3</v>
      </c>
      <c r="K14" s="16">
        <f t="shared" ref="K14" si="12">B14/E14</f>
        <v>5.5634785000518408E-4</v>
      </c>
      <c r="L14" s="4">
        <f t="shared" ref="L14" si="13">C14/G14</f>
        <v>0.2355957266801004</v>
      </c>
      <c r="M14" s="4">
        <f t="shared" ref="M14" si="14">B14/G14</f>
        <v>5.3707280638295725E-2</v>
      </c>
    </row>
    <row r="15" spans="1:13" x14ac:dyDescent="0.25">
      <c r="A15" s="2" t="s">
        <v>19</v>
      </c>
      <c r="B15" s="3">
        <f>Tourism!G11</f>
        <v>249.80835891797761</v>
      </c>
      <c r="C15" s="9">
        <f>Fisheries!I12</f>
        <v>20.204697209636095</v>
      </c>
      <c r="D15" s="10">
        <f t="shared" ref="D15:D32" si="15">B15+C15</f>
        <v>270.01305612761371</v>
      </c>
      <c r="E15" s="3">
        <f>'GDP avg'!H22*1000</f>
        <v>497050.93440000003</v>
      </c>
      <c r="F15" s="25">
        <f t="shared" ref="F15:F43" si="16">D15/E15</f>
        <v>5.4323015498110229E-4</v>
      </c>
      <c r="G15" s="3">
        <f>'surface area'!H33</f>
        <v>940</v>
      </c>
      <c r="H15" s="28">
        <f t="shared" ref="H15:H33" si="17">D15/G15</f>
        <v>0.28724793205065285</v>
      </c>
      <c r="J15" s="16">
        <f t="shared" ref="J15:J43" si="18">C15/E15</f>
        <v>4.0649148429879895E-5</v>
      </c>
      <c r="K15" s="16">
        <f t="shared" ref="K15:K43" si="19">B15/E15</f>
        <v>5.0258100655122234E-4</v>
      </c>
      <c r="L15" s="4">
        <f t="shared" ref="L15:L33" si="20">C15/G15</f>
        <v>2.1494358733655419E-2</v>
      </c>
      <c r="M15" s="4">
        <f t="shared" ref="M15:M33" si="21">B15/G15</f>
        <v>0.26575357331699745</v>
      </c>
    </row>
    <row r="16" spans="1:13" x14ac:dyDescent="0.25">
      <c r="A16" s="2" t="s">
        <v>5</v>
      </c>
      <c r="B16" s="3">
        <f>Tourism!G13</f>
        <v>122.28516477865679</v>
      </c>
      <c r="C16" s="9">
        <f>Fisheries!I14</f>
        <v>75.625453965674126</v>
      </c>
      <c r="D16" s="10">
        <f t="shared" si="15"/>
        <v>197.91061874433092</v>
      </c>
      <c r="E16" s="3">
        <f>'GDP avg'!H8*1000</f>
        <v>3460</v>
      </c>
      <c r="F16" s="25">
        <f t="shared" si="16"/>
        <v>5.7199600793159222E-2</v>
      </c>
      <c r="G16" s="3">
        <f>'surface area'!H10</f>
        <v>10020</v>
      </c>
      <c r="H16" s="28">
        <f t="shared" si="17"/>
        <v>1.9751558756919252E-2</v>
      </c>
      <c r="J16" s="16">
        <f t="shared" si="18"/>
        <v>2.1857067620137029E-2</v>
      </c>
      <c r="K16" s="16">
        <f t="shared" si="19"/>
        <v>3.5342533173022196E-2</v>
      </c>
      <c r="L16" s="4">
        <f t="shared" si="20"/>
        <v>7.5474504955762604E-3</v>
      </c>
      <c r="M16" s="4">
        <f t="shared" si="21"/>
        <v>1.2204108261342994E-2</v>
      </c>
    </row>
    <row r="17" spans="1:14" x14ac:dyDescent="0.25">
      <c r="A17" s="2" t="s">
        <v>7</v>
      </c>
      <c r="B17" s="3">
        <f>Tourism!G12</f>
        <v>174.53285977371692</v>
      </c>
      <c r="C17" s="9">
        <f>Fisheries!I13</f>
        <v>0.34339520028031489</v>
      </c>
      <c r="D17" s="10">
        <f t="shared" si="15"/>
        <v>174.87625497399725</v>
      </c>
      <c r="E17" s="3">
        <f>'GDP avg'!H10*1000</f>
        <v>4880</v>
      </c>
      <c r="F17" s="25">
        <f t="shared" si="16"/>
        <v>3.583529815040927E-2</v>
      </c>
      <c r="G17">
        <f>'surface area'!H37</f>
        <v>220</v>
      </c>
      <c r="H17" s="28">
        <f t="shared" si="17"/>
        <v>0.79489206806362389</v>
      </c>
      <c r="J17" s="16">
        <f t="shared" si="18"/>
        <v>7.0367868909900586E-5</v>
      </c>
      <c r="K17" s="16">
        <f t="shared" si="19"/>
        <v>3.5764930281499366E-2</v>
      </c>
      <c r="L17" s="4">
        <f t="shared" si="20"/>
        <v>1.5608872740014313E-3</v>
      </c>
      <c r="M17" s="4">
        <f t="shared" si="21"/>
        <v>0.79333118078962239</v>
      </c>
    </row>
    <row r="18" spans="1:14" s="22" customFormat="1" x14ac:dyDescent="0.25">
      <c r="A18" s="23" t="s">
        <v>115</v>
      </c>
      <c r="B18" s="22">
        <f>Tourism!G41</f>
        <v>0</v>
      </c>
      <c r="C18" s="22">
        <f>Fisheries!I42</f>
        <v>171.0373659853928</v>
      </c>
      <c r="D18" s="24">
        <f t="shared" si="15"/>
        <v>171.0373659853928</v>
      </c>
      <c r="E18" s="22">
        <f>'GDP avg'!H42*1000</f>
        <v>190674</v>
      </c>
      <c r="F18" s="25">
        <f t="shared" si="16"/>
        <v>8.9701462173863661E-4</v>
      </c>
      <c r="G18" s="19" t="s">
        <v>131</v>
      </c>
      <c r="H18" s="29" t="s">
        <v>131</v>
      </c>
      <c r="J18" s="16">
        <f t="shared" si="18"/>
        <v>8.9701462173863661E-4</v>
      </c>
      <c r="K18" s="16">
        <f t="shared" si="19"/>
        <v>0</v>
      </c>
      <c r="L18" s="19" t="s">
        <v>131</v>
      </c>
      <c r="M18" s="18" t="s">
        <v>131</v>
      </c>
    </row>
    <row r="19" spans="1:14" x14ac:dyDescent="0.25">
      <c r="A19" s="2" t="s">
        <v>6</v>
      </c>
      <c r="B19" s="3">
        <f>Tourism!G15</f>
        <v>59.224483855391242</v>
      </c>
      <c r="C19" s="9">
        <f>Fisheries!I16</f>
        <v>53.866596099013421</v>
      </c>
      <c r="D19" s="10">
        <f t="shared" si="15"/>
        <v>113.09107995440466</v>
      </c>
      <c r="E19" s="3">
        <f>'GDP avg'!H9*1000</f>
        <v>6339.9999999999991</v>
      </c>
      <c r="F19" s="25">
        <f t="shared" si="16"/>
        <v>1.7837709771988119E-2</v>
      </c>
      <c r="G19" s="2">
        <f>'surface area'!H13</f>
        <v>6000</v>
      </c>
      <c r="H19" s="28">
        <f t="shared" si="17"/>
        <v>1.8848513325734111E-2</v>
      </c>
      <c r="J19" s="16">
        <f t="shared" si="18"/>
        <v>8.4963085329674178E-3</v>
      </c>
      <c r="K19" s="16">
        <f t="shared" si="19"/>
        <v>9.3414012390207017E-3</v>
      </c>
      <c r="L19" s="4">
        <f t="shared" si="20"/>
        <v>8.9777660165022369E-3</v>
      </c>
      <c r="M19" s="4">
        <f t="shared" si="21"/>
        <v>9.8707473092318736E-3</v>
      </c>
    </row>
    <row r="20" spans="1:14" x14ac:dyDescent="0.25">
      <c r="A20" s="2" t="s">
        <v>15</v>
      </c>
      <c r="B20" s="3">
        <f>Tourism!G17</f>
        <v>17.072307111507889</v>
      </c>
      <c r="C20" s="9">
        <f>Fisheries!I18</f>
        <v>60.095671967182412</v>
      </c>
      <c r="D20" s="10">
        <f t="shared" si="15"/>
        <v>77.167979078690308</v>
      </c>
      <c r="E20" s="3">
        <f>'GDP avg'!H18*1000</f>
        <v>15400</v>
      </c>
      <c r="F20" s="25">
        <f t="shared" si="16"/>
        <v>5.0109077323824873E-3</v>
      </c>
      <c r="G20" s="3">
        <f>'surface area'!H9</f>
        <v>13840</v>
      </c>
      <c r="H20" s="28">
        <f t="shared" si="17"/>
        <v>5.5757210316972764E-3</v>
      </c>
      <c r="J20" s="16">
        <f t="shared" si="18"/>
        <v>3.9023163615053516E-3</v>
      </c>
      <c r="K20" s="16">
        <f t="shared" si="19"/>
        <v>1.1085913708771358E-3</v>
      </c>
      <c r="L20" s="4">
        <f t="shared" si="20"/>
        <v>4.3421728299987295E-3</v>
      </c>
      <c r="M20" s="4">
        <f t="shared" si="21"/>
        <v>1.2335482016985469E-3</v>
      </c>
    </row>
    <row r="21" spans="1:14" x14ac:dyDescent="0.25">
      <c r="A21" s="2" t="s">
        <v>112</v>
      </c>
      <c r="B21" s="3">
        <f>Tourism!G39</f>
        <v>57.193133013118498</v>
      </c>
      <c r="C21" s="9">
        <f>Fisheries!I40</f>
        <v>14.888865255413471</v>
      </c>
      <c r="D21" s="10">
        <f t="shared" si="15"/>
        <v>72.081998268531976</v>
      </c>
      <c r="E21" s="3">
        <f>'GDP avg'!H40*1000</f>
        <v>54640.000000000007</v>
      </c>
      <c r="F21" s="25">
        <f t="shared" si="16"/>
        <v>1.3192166593801605E-3</v>
      </c>
      <c r="G21" s="3">
        <v>680</v>
      </c>
      <c r="H21" s="28">
        <f t="shared" si="17"/>
        <v>0.10600293863019408</v>
      </c>
      <c r="J21" s="16">
        <f t="shared" si="18"/>
        <v>2.72490213312838E-4</v>
      </c>
      <c r="K21" s="16">
        <f t="shared" si="19"/>
        <v>1.0467264460673224E-3</v>
      </c>
      <c r="L21" s="4">
        <f t="shared" si="20"/>
        <v>2.1895390081490398E-2</v>
      </c>
      <c r="M21" s="4">
        <f t="shared" si="21"/>
        <v>8.410754854870367E-2</v>
      </c>
    </row>
    <row r="22" spans="1:14" s="2" customFormat="1" x14ac:dyDescent="0.25">
      <c r="A22" s="2" t="s">
        <v>18</v>
      </c>
      <c r="B22" s="3">
        <f>Tourism!G18</f>
        <v>11.870074585345414</v>
      </c>
      <c r="C22" s="9">
        <f>Fisheries!I19</f>
        <v>54.115976047780045</v>
      </c>
      <c r="D22" s="10">
        <f t="shared" si="15"/>
        <v>65.986050633125458</v>
      </c>
      <c r="E22" s="3">
        <f>'GDP avg'!H21*1000</f>
        <v>917.99999999999989</v>
      </c>
      <c r="F22" s="25">
        <f t="shared" si="16"/>
        <v>7.1880229447849095E-2</v>
      </c>
      <c r="G22" s="6">
        <f>'surface area'!H16</f>
        <v>5750</v>
      </c>
      <c r="H22" s="28">
        <f t="shared" si="17"/>
        <v>1.1475834892717472E-2</v>
      </c>
      <c r="J22" s="16">
        <f t="shared" si="18"/>
        <v>5.8949864975795262E-2</v>
      </c>
      <c r="K22" s="16">
        <f t="shared" si="19"/>
        <v>1.293036447205383E-2</v>
      </c>
      <c r="L22" s="4">
        <f t="shared" si="20"/>
        <v>9.4114740952660949E-3</v>
      </c>
      <c r="M22" s="4">
        <f t="shared" si="21"/>
        <v>2.0643607974513761E-3</v>
      </c>
      <c r="N22"/>
    </row>
    <row r="23" spans="1:14" s="2" customFormat="1" x14ac:dyDescent="0.25">
      <c r="A23" s="2" t="s">
        <v>110</v>
      </c>
      <c r="B23" s="3">
        <f>Tourism!G36</f>
        <v>9.1909657709475852</v>
      </c>
      <c r="C23" s="9">
        <f>Fisheries!I37</f>
        <v>55.412037104964455</v>
      </c>
      <c r="D23" s="10">
        <f t="shared" si="15"/>
        <v>64.60300287591204</v>
      </c>
      <c r="E23" s="3">
        <f>'GDP avg'!H37*1000</f>
        <v>46580</v>
      </c>
      <c r="F23" s="25">
        <f t="shared" si="16"/>
        <v>1.3869257809341357E-3</v>
      </c>
      <c r="G23" s="3">
        <v>1870</v>
      </c>
      <c r="H23" s="28">
        <f t="shared" si="17"/>
        <v>3.4547060361450291E-2</v>
      </c>
      <c r="J23" s="16">
        <f t="shared" si="18"/>
        <v>1.1896100709524358E-3</v>
      </c>
      <c r="K23" s="16">
        <f t="shared" si="19"/>
        <v>1.9731570998169999E-4</v>
      </c>
      <c r="L23" s="4">
        <f t="shared" si="20"/>
        <v>2.9632105403724306E-2</v>
      </c>
      <c r="M23" s="4">
        <f t="shared" si="21"/>
        <v>4.914954957725981E-3</v>
      </c>
      <c r="N23"/>
    </row>
    <row r="24" spans="1:14" x14ac:dyDescent="0.25">
      <c r="A24" s="2" t="s">
        <v>14</v>
      </c>
      <c r="B24" s="3">
        <f>Tourism!G16</f>
        <v>45.748432423764768</v>
      </c>
      <c r="C24" s="9">
        <f>Fisheries!I17</f>
        <v>10.322110209899321</v>
      </c>
      <c r="D24" s="10">
        <f t="shared" si="15"/>
        <v>56.07054263366409</v>
      </c>
      <c r="E24" s="3">
        <f>'GDP avg'!H17*1000</f>
        <v>198</v>
      </c>
      <c r="F24" s="25">
        <f t="shared" si="16"/>
        <v>0.28318455875587922</v>
      </c>
      <c r="G24" s="3">
        <f>'surface area'!H29</f>
        <v>1150</v>
      </c>
      <c r="H24" s="28">
        <f t="shared" si="17"/>
        <v>4.8756993594490511E-2</v>
      </c>
      <c r="J24" s="16">
        <f t="shared" si="18"/>
        <v>5.2131869746966271E-2</v>
      </c>
      <c r="K24" s="16">
        <f t="shared" si="19"/>
        <v>0.23105268900891296</v>
      </c>
      <c r="L24" s="4">
        <f t="shared" si="20"/>
        <v>8.975748008608106E-3</v>
      </c>
      <c r="M24" s="4">
        <f t="shared" si="21"/>
        <v>3.9781245585882405E-2</v>
      </c>
    </row>
    <row r="25" spans="1:14" x14ac:dyDescent="0.25">
      <c r="A25" s="2" t="s">
        <v>12</v>
      </c>
      <c r="B25" s="3">
        <f>Tourism!G22</f>
        <v>14.832565815952487</v>
      </c>
      <c r="C25" s="9">
        <f>Fisheries!I23</f>
        <v>26.360402554179654</v>
      </c>
      <c r="D25" s="10">
        <f t="shared" si="15"/>
        <v>41.192968370132142</v>
      </c>
      <c r="E25" s="3">
        <f>'GDP avg'!H15*1000</f>
        <v>9420.0000000000018</v>
      </c>
      <c r="F25" s="25">
        <f t="shared" si="16"/>
        <v>4.3729265785702898E-3</v>
      </c>
      <c r="G25">
        <f>'surface area'!H14</f>
        <v>5980</v>
      </c>
      <c r="H25" s="28">
        <f t="shared" si="17"/>
        <v>6.8884562491859768E-3</v>
      </c>
      <c r="J25" s="16">
        <f t="shared" si="18"/>
        <v>2.7983442201889226E-3</v>
      </c>
      <c r="K25" s="16">
        <f t="shared" si="19"/>
        <v>1.5745823583813677E-3</v>
      </c>
      <c r="L25" s="4">
        <f t="shared" si="20"/>
        <v>4.4080940726052929E-3</v>
      </c>
      <c r="M25" s="4">
        <f t="shared" si="21"/>
        <v>2.4803621765806835E-3</v>
      </c>
    </row>
    <row r="26" spans="1:14" x14ac:dyDescent="0.25">
      <c r="A26" s="2" t="s">
        <v>13</v>
      </c>
      <c r="B26" s="3">
        <f>Tourism!G19</f>
        <v>33.708009677620495</v>
      </c>
      <c r="C26" s="9">
        <f>Fisheries!I20</f>
        <v>0.40463411462510879</v>
      </c>
      <c r="D26" s="10">
        <f t="shared" si="15"/>
        <v>34.112643792245606</v>
      </c>
      <c r="E26" s="3">
        <f>'GDP avg'!H16*1000</f>
        <v>803.99999999999989</v>
      </c>
      <c r="F26" s="25">
        <f t="shared" si="16"/>
        <v>4.2428661433141307E-2</v>
      </c>
      <c r="G26" s="6">
        <f>'surface area'!H43</f>
        <v>50</v>
      </c>
      <c r="H26" s="28">
        <f t="shared" si="17"/>
        <v>0.68225287584491212</v>
      </c>
      <c r="J26" s="16">
        <f t="shared" si="18"/>
        <v>5.0327626197152844E-4</v>
      </c>
      <c r="K26" s="16">
        <f t="shared" si="19"/>
        <v>4.1925385171169775E-2</v>
      </c>
      <c r="L26" s="4">
        <f t="shared" si="20"/>
        <v>8.0926822925021756E-3</v>
      </c>
      <c r="M26" s="4">
        <f t="shared" si="21"/>
        <v>0.67416019355240986</v>
      </c>
    </row>
    <row r="27" spans="1:14" s="2" customFormat="1" x14ac:dyDescent="0.25">
      <c r="A27" s="2" t="s">
        <v>23</v>
      </c>
      <c r="B27" s="3">
        <f>Tourism!G20</f>
        <v>27.550972011403896</v>
      </c>
      <c r="C27" s="9">
        <f>Fisheries!I21</f>
        <v>5.3986684891890651</v>
      </c>
      <c r="D27" s="10">
        <f t="shared" si="15"/>
        <v>32.949640500592963</v>
      </c>
      <c r="E27" s="3">
        <f>'GDP avg'!H26*1000</f>
        <v>698.00000000000011</v>
      </c>
      <c r="F27" s="25">
        <f t="shared" si="16"/>
        <v>4.7205788682797935E-2</v>
      </c>
      <c r="G27" s="6">
        <f>'surface area'!H18</f>
        <v>4110</v>
      </c>
      <c r="H27" s="28">
        <f t="shared" si="17"/>
        <v>8.0169441607282153E-3</v>
      </c>
      <c r="J27" s="16">
        <f t="shared" si="18"/>
        <v>7.7344820762020976E-3</v>
      </c>
      <c r="K27" s="16">
        <f t="shared" si="19"/>
        <v>3.9471306606595834E-2</v>
      </c>
      <c r="L27" s="4">
        <f t="shared" si="20"/>
        <v>1.3135446445715487E-3</v>
      </c>
      <c r="M27" s="4">
        <f t="shared" si="21"/>
        <v>6.7033995161566657E-3</v>
      </c>
      <c r="N27"/>
    </row>
    <row r="28" spans="1:14" s="2" customFormat="1" x14ac:dyDescent="0.25">
      <c r="A28" s="2" t="s">
        <v>11</v>
      </c>
      <c r="B28" s="3">
        <f>Tourism!G24</f>
        <v>8.8825635653347117</v>
      </c>
      <c r="C28" s="9">
        <f>Fisheries!I25</f>
        <v>17.544025483793803</v>
      </c>
      <c r="D28" s="10">
        <f t="shared" si="15"/>
        <v>26.426589049128516</v>
      </c>
      <c r="E28" s="3">
        <f>'GDP avg'!H14*1000</f>
        <v>296.00000000000006</v>
      </c>
      <c r="F28" s="25">
        <f t="shared" si="16"/>
        <v>8.9279017057866589E-2</v>
      </c>
      <c r="G28" s="6">
        <f>'surface area'!H17</f>
        <v>4340</v>
      </c>
      <c r="H28" s="28">
        <f t="shared" si="17"/>
        <v>6.0890758177715477E-3</v>
      </c>
      <c r="J28" s="16">
        <f t="shared" si="18"/>
        <v>5.927035636416824E-2</v>
      </c>
      <c r="K28" s="16">
        <f t="shared" si="19"/>
        <v>3.0008660693698345E-2</v>
      </c>
      <c r="L28" s="4">
        <f t="shared" si="20"/>
        <v>4.0424021852059457E-3</v>
      </c>
      <c r="M28" s="4">
        <f t="shared" si="21"/>
        <v>2.0466736325656016E-3</v>
      </c>
      <c r="N28"/>
    </row>
    <row r="29" spans="1:14" x14ac:dyDescent="0.25">
      <c r="A29" s="2" t="s">
        <v>2</v>
      </c>
      <c r="B29" s="3">
        <f>Tourism!G14</f>
        <v>9.6850300915549994</v>
      </c>
      <c r="C29" s="9">
        <f>Fisheries!I15</f>
        <v>13.356612645543112</v>
      </c>
      <c r="D29" s="10">
        <f t="shared" si="15"/>
        <v>23.041642737098112</v>
      </c>
      <c r="E29" s="3">
        <f>'GDP avg'!H5*1000</f>
        <v>11780</v>
      </c>
      <c r="F29" s="25">
        <f t="shared" si="16"/>
        <v>1.9559968367655442E-3</v>
      </c>
      <c r="G29" s="6">
        <f>'surface area'!H42</f>
        <v>50</v>
      </c>
      <c r="H29" s="28">
        <f t="shared" si="17"/>
        <v>0.46083285474196223</v>
      </c>
      <c r="J29" s="16">
        <f t="shared" si="18"/>
        <v>1.1338380853601962E-3</v>
      </c>
      <c r="K29" s="16">
        <f t="shared" si="19"/>
        <v>8.2215875140534802E-4</v>
      </c>
      <c r="L29" s="4">
        <f t="shared" si="20"/>
        <v>0.26713225291086223</v>
      </c>
      <c r="M29" s="4">
        <f t="shared" si="21"/>
        <v>0.19370060183109999</v>
      </c>
    </row>
    <row r="30" spans="1:14" x14ac:dyDescent="0.25">
      <c r="A30" s="2" t="s">
        <v>1</v>
      </c>
      <c r="B30" s="3">
        <f>Tourism!G21</f>
        <v>18.947230038089842</v>
      </c>
      <c r="C30" s="9">
        <f>Fisheries!I22</f>
        <v>0.42650440662468586</v>
      </c>
      <c r="D30" s="10">
        <f t="shared" si="15"/>
        <v>19.373734444714529</v>
      </c>
      <c r="E30" s="3">
        <f>'GDP avg'!H4*1000</f>
        <v>15260</v>
      </c>
      <c r="F30" s="25">
        <f t="shared" si="16"/>
        <v>1.2695763069930884E-3</v>
      </c>
      <c r="G30" s="3">
        <f>'surface area'!H39</f>
        <v>210</v>
      </c>
      <c r="H30" s="28">
        <f t="shared" si="17"/>
        <v>9.2255878308164424E-2</v>
      </c>
      <c r="J30" s="16">
        <f t="shared" si="18"/>
        <v>2.7949174746047567E-5</v>
      </c>
      <c r="K30" s="16">
        <f t="shared" si="19"/>
        <v>1.2416271322470407E-3</v>
      </c>
      <c r="L30" s="4">
        <f t="shared" si="20"/>
        <v>2.0309733648794567E-3</v>
      </c>
      <c r="M30" s="4">
        <f t="shared" si="21"/>
        <v>9.0224904943284959E-2</v>
      </c>
    </row>
    <row r="31" spans="1:14" x14ac:dyDescent="0.25">
      <c r="A31" s="2" t="s">
        <v>17</v>
      </c>
      <c r="B31" s="3">
        <f>Tourism!G25</f>
        <v>6.9235616984525628</v>
      </c>
      <c r="C31" s="9">
        <f>Fisheries!I26</f>
        <v>10.69884203607462</v>
      </c>
      <c r="D31" s="10">
        <f t="shared" si="15"/>
        <v>17.622403734527182</v>
      </c>
      <c r="E31" s="3">
        <f>'GDP avg'!H20*1000</f>
        <v>671.99999999999989</v>
      </c>
      <c r="F31" s="25">
        <f t="shared" si="16"/>
        <v>2.6223815081141646E-2</v>
      </c>
      <c r="G31" s="3">
        <v>490</v>
      </c>
      <c r="H31" s="28">
        <f t="shared" si="17"/>
        <v>3.5964089254137105E-2</v>
      </c>
      <c r="J31" s="16">
        <f t="shared" si="18"/>
        <v>1.5920895887015805E-2</v>
      </c>
      <c r="K31" s="16">
        <f t="shared" si="19"/>
        <v>1.0302919194125839E-2</v>
      </c>
      <c r="L31" s="4">
        <f t="shared" si="20"/>
        <v>2.1834371502193101E-2</v>
      </c>
      <c r="M31" s="4">
        <f t="shared" si="21"/>
        <v>1.4129717751944005E-2</v>
      </c>
    </row>
    <row r="32" spans="1:14" x14ac:dyDescent="0.25">
      <c r="A32" s="2" t="s">
        <v>21</v>
      </c>
      <c r="B32" s="3">
        <f>Tourism!G26</f>
        <v>7.0657142979927388</v>
      </c>
      <c r="C32" s="9">
        <f>Fisheries!I27</f>
        <v>8.3644746336885341</v>
      </c>
      <c r="D32" s="10">
        <f t="shared" si="15"/>
        <v>15.430188931681272</v>
      </c>
      <c r="E32" s="3">
        <f>'GDP avg'!H24*1000</f>
        <v>380</v>
      </c>
      <c r="F32" s="25">
        <f t="shared" si="16"/>
        <v>4.0605760346529664E-2</v>
      </c>
      <c r="G32" s="3">
        <f>'surface area'!H25</f>
        <v>1500</v>
      </c>
      <c r="H32" s="28">
        <f t="shared" si="17"/>
        <v>1.0286792621120849E-2</v>
      </c>
      <c r="J32" s="16">
        <f t="shared" si="18"/>
        <v>2.2011775351811931E-2</v>
      </c>
      <c r="K32" s="16">
        <f t="shared" si="19"/>
        <v>1.8593984994717733E-2</v>
      </c>
      <c r="L32" s="4">
        <f t="shared" si="20"/>
        <v>5.5763164224590231E-3</v>
      </c>
      <c r="M32" s="4">
        <f t="shared" si="21"/>
        <v>4.7104761986618256E-3</v>
      </c>
    </row>
    <row r="33" spans="1:13" x14ac:dyDescent="0.25">
      <c r="A33" s="2" t="s">
        <v>4</v>
      </c>
      <c r="B33" s="3">
        <f>Tourism!G23</f>
        <v>10.157063981449799</v>
      </c>
      <c r="C33" s="9">
        <f>Fisheries!I24</f>
        <v>2.9141100557525337</v>
      </c>
      <c r="D33" s="10">
        <f t="shared" ref="D33" si="22">B33+C33</f>
        <v>13.071174037202333</v>
      </c>
      <c r="E33" s="3">
        <f>'GDP avg'!H7*1000</f>
        <v>250.8</v>
      </c>
      <c r="F33" s="25">
        <f t="shared" si="16"/>
        <v>5.2117918808621738E-2</v>
      </c>
      <c r="G33">
        <f>'surface area'!H31</f>
        <v>1120</v>
      </c>
      <c r="H33" s="28">
        <f t="shared" si="17"/>
        <v>1.1670691104644941E-2</v>
      </c>
      <c r="J33" s="16">
        <f t="shared" si="18"/>
        <v>1.1619258595504519E-2</v>
      </c>
      <c r="K33" s="16">
        <f t="shared" si="19"/>
        <v>4.0498660213117217E-2</v>
      </c>
      <c r="L33" s="4">
        <f t="shared" si="20"/>
        <v>2.6018839783504763E-3</v>
      </c>
      <c r="M33" s="4">
        <f t="shared" si="21"/>
        <v>9.0688071262944626E-3</v>
      </c>
    </row>
    <row r="34" spans="1:13" x14ac:dyDescent="0.25">
      <c r="A34" t="s">
        <v>80</v>
      </c>
      <c r="B34" s="3">
        <f>Tourism!G27</f>
        <v>5.1366415050774599</v>
      </c>
      <c r="C34" s="9">
        <f>Fisheries!I28</f>
        <v>5.4264171903980607</v>
      </c>
      <c r="D34" s="10">
        <f t="shared" ref="D34:D42" si="23">B34+C34</f>
        <v>10.563058695475521</v>
      </c>
      <c r="E34" s="3">
        <f>'GDP avg'!H30*1000</f>
        <v>893.99999999999989</v>
      </c>
      <c r="F34" s="25">
        <f t="shared" si="16"/>
        <v>1.1815501896505059E-2</v>
      </c>
      <c r="G34" s="19" t="s">
        <v>131</v>
      </c>
      <c r="H34" s="29" t="s">
        <v>131</v>
      </c>
      <c r="J34" s="16">
        <f t="shared" si="18"/>
        <v>6.0698178863512987E-3</v>
      </c>
      <c r="K34" s="16">
        <f t="shared" si="19"/>
        <v>5.7456840101537589E-3</v>
      </c>
      <c r="L34" s="19" t="s">
        <v>131</v>
      </c>
      <c r="M34" s="18" t="s">
        <v>131</v>
      </c>
    </row>
    <row r="35" spans="1:13" x14ac:dyDescent="0.25">
      <c r="A35" t="s">
        <v>28</v>
      </c>
      <c r="B35" s="3">
        <f>Tourism!G31</f>
        <v>0.47900669009936103</v>
      </c>
      <c r="C35" s="9">
        <f>Fisheries!I32</f>
        <v>6.0264460155580837</v>
      </c>
      <c r="D35" s="10">
        <f t="shared" si="23"/>
        <v>6.5054527056574445</v>
      </c>
      <c r="E35" s="3">
        <f>'GDP avg'!H28*1000</f>
        <v>162</v>
      </c>
      <c r="F35" s="25">
        <f t="shared" si="16"/>
        <v>4.0157115467021262E-2</v>
      </c>
      <c r="G35" s="3">
        <f>'surface area'!H12</f>
        <v>6110</v>
      </c>
      <c r="H35" s="28">
        <f t="shared" ref="H35:H42" si="24">D35/G35</f>
        <v>1.0647222104185671E-3</v>
      </c>
      <c r="J35" s="16">
        <f t="shared" si="18"/>
        <v>3.720028404665484E-2</v>
      </c>
      <c r="K35" s="16">
        <f t="shared" si="19"/>
        <v>2.9568314203664262E-3</v>
      </c>
      <c r="L35" s="4">
        <f t="shared" ref="L35:L43" si="25">C35/G35</f>
        <v>9.8632504346286148E-4</v>
      </c>
      <c r="M35" s="4">
        <f t="shared" ref="M35:M43" si="26">B35/G35</f>
        <v>7.8397166955705569E-5</v>
      </c>
    </row>
    <row r="36" spans="1:13" x14ac:dyDescent="0.25">
      <c r="A36" t="s">
        <v>29</v>
      </c>
      <c r="B36" s="3">
        <f>Tourism!G29</f>
        <v>0.81732523282813796</v>
      </c>
      <c r="C36" s="9">
        <f>Fisheries!I30</f>
        <v>4.374194010722392</v>
      </c>
      <c r="D36" s="10">
        <f t="shared" si="23"/>
        <v>5.1915192435505304</v>
      </c>
      <c r="E36" s="3">
        <f>'GDP avg'!H29*1000</f>
        <v>160</v>
      </c>
      <c r="F36" s="25">
        <f t="shared" si="16"/>
        <v>3.2446995272190818E-2</v>
      </c>
      <c r="G36" s="3">
        <f>'surface area'!H20</f>
        <v>2940</v>
      </c>
      <c r="H36" s="28">
        <f t="shared" si="24"/>
        <v>1.7658228719559627E-3</v>
      </c>
      <c r="J36" s="16">
        <f t="shared" si="18"/>
        <v>2.733871256701495E-2</v>
      </c>
      <c r="K36" s="16">
        <f t="shared" si="19"/>
        <v>5.1082827051758626E-3</v>
      </c>
      <c r="L36" s="4">
        <f t="shared" si="25"/>
        <v>1.4878210920824463E-3</v>
      </c>
      <c r="M36" s="4">
        <f t="shared" si="26"/>
        <v>2.7800177987351629E-4</v>
      </c>
    </row>
    <row r="37" spans="1:13" x14ac:dyDescent="0.25">
      <c r="A37" t="s">
        <v>135</v>
      </c>
      <c r="B37" s="3">
        <f>Tourism!G34</f>
        <v>1.1284869390812014E-2</v>
      </c>
      <c r="C37" s="9">
        <f>Fisheries!I35</f>
        <v>4.8499816120841146</v>
      </c>
      <c r="D37" s="10">
        <f t="shared" si="23"/>
        <v>4.8612664814749262</v>
      </c>
      <c r="E37" s="3">
        <f>'GDP avg'!H31*1000</f>
        <v>200</v>
      </c>
      <c r="F37" s="25">
        <f t="shared" si="16"/>
        <v>2.430633240737463E-2</v>
      </c>
      <c r="G37" s="3">
        <f>'surface area'!H32</f>
        <v>940</v>
      </c>
      <c r="H37" s="28">
        <f t="shared" si="24"/>
        <v>5.1715600866754537E-3</v>
      </c>
      <c r="J37" s="16">
        <f t="shared" si="18"/>
        <v>2.4249908060420572E-2</v>
      </c>
      <c r="K37" s="16">
        <f t="shared" si="19"/>
        <v>5.6424346954060073E-5</v>
      </c>
      <c r="L37" s="4">
        <f t="shared" si="25"/>
        <v>5.1595549064724624E-3</v>
      </c>
      <c r="M37" s="4">
        <f t="shared" si="26"/>
        <v>1.2005180202991505E-5</v>
      </c>
    </row>
    <row r="38" spans="1:13" x14ac:dyDescent="0.25">
      <c r="A38" t="s">
        <v>81</v>
      </c>
      <c r="B38" s="3">
        <f>Tourism!G28</f>
        <v>2.2387851053207251</v>
      </c>
      <c r="C38" s="9">
        <f>Fisheries!I29</f>
        <v>0.35928766646650062</v>
      </c>
      <c r="D38" s="10">
        <f t="shared" si="23"/>
        <v>2.5980727717872258</v>
      </c>
      <c r="E38" s="3">
        <f>'GDP avg'!H32*1000</f>
        <v>606.00000000000011</v>
      </c>
      <c r="F38" s="25">
        <f t="shared" si="16"/>
        <v>4.2872487983287551E-3</v>
      </c>
      <c r="G38" s="3">
        <v>220</v>
      </c>
      <c r="H38" s="28">
        <f t="shared" si="24"/>
        <v>1.1809421689941936E-2</v>
      </c>
      <c r="J38" s="16">
        <f t="shared" si="18"/>
        <v>5.9288393806353223E-4</v>
      </c>
      <c r="K38" s="16">
        <f t="shared" si="19"/>
        <v>3.6943648602652222E-3</v>
      </c>
      <c r="L38" s="4">
        <f t="shared" si="25"/>
        <v>1.6331257566659118E-3</v>
      </c>
      <c r="M38" s="4">
        <f t="shared" si="26"/>
        <v>1.0176295933276023E-2</v>
      </c>
    </row>
    <row r="39" spans="1:13" x14ac:dyDescent="0.25">
      <c r="A39" s="2" t="s">
        <v>113</v>
      </c>
      <c r="B39" s="3">
        <f>Tourism!G40</f>
        <v>0</v>
      </c>
      <c r="C39" s="9">
        <f>Fisheries!I41</f>
        <v>2.1997211626255604</v>
      </c>
      <c r="D39" s="10">
        <f t="shared" si="23"/>
        <v>2.1997211626255604</v>
      </c>
      <c r="E39" s="3">
        <f>'GDP avg'!H41*1000</f>
        <v>114280</v>
      </c>
      <c r="F39" s="25">
        <f t="shared" si="16"/>
        <v>1.9248522599103609E-5</v>
      </c>
      <c r="G39" s="3">
        <f>'surface area'!H45</f>
        <v>50</v>
      </c>
      <c r="H39" s="28">
        <f t="shared" si="24"/>
        <v>4.3994423252511211E-2</v>
      </c>
      <c r="J39" s="16">
        <f t="shared" si="18"/>
        <v>1.9248522599103609E-5</v>
      </c>
      <c r="K39" s="16">
        <f t="shared" si="19"/>
        <v>0</v>
      </c>
      <c r="L39" s="4">
        <f t="shared" si="25"/>
        <v>4.3994423252511211E-2</v>
      </c>
      <c r="M39" s="4">
        <f t="shared" si="26"/>
        <v>0</v>
      </c>
    </row>
    <row r="40" spans="1:13" x14ac:dyDescent="0.25">
      <c r="A40" t="s">
        <v>132</v>
      </c>
      <c r="B40" s="3">
        <f>Tourism!G30</f>
        <v>0.36111582050598445</v>
      </c>
      <c r="C40" s="9">
        <f>Fisheries!I31</f>
        <v>1.8246390775499144</v>
      </c>
      <c r="D40" s="10">
        <f t="shared" si="23"/>
        <v>2.1857548980558987</v>
      </c>
      <c r="E40" s="3">
        <f>'GDP avg'!H34*1000</f>
        <v>149103.99999999997</v>
      </c>
      <c r="F40" s="25">
        <f t="shared" si="16"/>
        <v>1.4659263990609905E-5</v>
      </c>
      <c r="G40" s="3">
        <f>'surface area'!H40+40</f>
        <v>210</v>
      </c>
      <c r="H40" s="28">
        <f t="shared" si="24"/>
        <v>1.0408356657409041E-2</v>
      </c>
      <c r="J40" s="16">
        <f t="shared" si="18"/>
        <v>1.2237358337468578E-5</v>
      </c>
      <c r="K40" s="16">
        <f t="shared" si="19"/>
        <v>2.4219056531413276E-6</v>
      </c>
      <c r="L40" s="4">
        <f t="shared" si="25"/>
        <v>8.6887575121424501E-3</v>
      </c>
      <c r="M40" s="4">
        <f t="shared" si="26"/>
        <v>1.7195991452665926E-3</v>
      </c>
    </row>
    <row r="41" spans="1:13" x14ac:dyDescent="0.25">
      <c r="A41" s="2" t="s">
        <v>114</v>
      </c>
      <c r="B41" s="3">
        <f>Tourism!G35</f>
        <v>0</v>
      </c>
      <c r="C41" s="9">
        <f>Fisheries!I36</f>
        <v>1.5456652504677471</v>
      </c>
      <c r="D41" s="10">
        <f t="shared" si="23"/>
        <v>1.5456652504677471</v>
      </c>
      <c r="E41" s="3">
        <f>'GDP avg'!H36*1000</f>
        <v>240420</v>
      </c>
      <c r="F41" s="25">
        <f t="shared" si="16"/>
        <v>6.429021090041374E-6</v>
      </c>
      <c r="G41" s="3">
        <v>75</v>
      </c>
      <c r="H41" s="28">
        <f t="shared" si="24"/>
        <v>2.0608870006236627E-2</v>
      </c>
      <c r="J41" s="16">
        <f t="shared" si="18"/>
        <v>6.429021090041374E-6</v>
      </c>
      <c r="K41" s="16">
        <f t="shared" si="19"/>
        <v>0</v>
      </c>
      <c r="L41" s="4">
        <f t="shared" si="25"/>
        <v>2.0608870006236627E-2</v>
      </c>
      <c r="M41" s="4">
        <f t="shared" si="26"/>
        <v>0</v>
      </c>
    </row>
    <row r="42" spans="1:13" x14ac:dyDescent="0.25">
      <c r="A42" t="s">
        <v>82</v>
      </c>
      <c r="B42" s="3">
        <f>Tourism!G32</f>
        <v>0.12413356329893216</v>
      </c>
      <c r="C42" s="9">
        <f>Fisheries!I33</f>
        <v>0.26341992131420905</v>
      </c>
      <c r="D42" s="10">
        <f t="shared" si="23"/>
        <v>0.38755348461314121</v>
      </c>
      <c r="E42" s="3">
        <f>'GDP avg'!H33*1000</f>
        <v>33.200000000000003</v>
      </c>
      <c r="F42" s="25">
        <f t="shared" si="16"/>
        <v>1.1673297729311482E-2</v>
      </c>
      <c r="G42" s="3">
        <f>'surface area'!H35</f>
        <v>710</v>
      </c>
      <c r="H42" s="28">
        <f t="shared" si="24"/>
        <v>5.4584997832836791E-4</v>
      </c>
      <c r="J42" s="16">
        <f t="shared" si="18"/>
        <v>7.9343349793436456E-3</v>
      </c>
      <c r="K42" s="16">
        <f t="shared" si="19"/>
        <v>3.7389627499678359E-3</v>
      </c>
      <c r="L42" s="4">
        <f t="shared" si="25"/>
        <v>3.710139736819846E-4</v>
      </c>
      <c r="M42" s="4">
        <f t="shared" si="26"/>
        <v>1.7483600464638331E-4</v>
      </c>
    </row>
    <row r="43" spans="1:13" x14ac:dyDescent="0.25">
      <c r="A43" s="2" t="s">
        <v>86</v>
      </c>
      <c r="B43" s="3">
        <f>Tourism!G33</f>
        <v>2.2569738781624028E-2</v>
      </c>
      <c r="C43" s="9">
        <f>Fisheries!I34</f>
        <v>0.1240672712328264</v>
      </c>
      <c r="D43" s="10">
        <f t="shared" ref="D43" si="27">B43+C43</f>
        <v>0.14663701001445043</v>
      </c>
      <c r="E43" s="3">
        <f>'GDP avg'!H35*1000</f>
        <v>72.599999999999994</v>
      </c>
      <c r="F43" s="25">
        <f t="shared" si="16"/>
        <v>2.0197935263698407E-3</v>
      </c>
      <c r="G43" s="6">
        <f>'surface area'!H44</f>
        <v>50</v>
      </c>
      <c r="H43" s="28">
        <f t="shared" ref="H43" si="28">D43/G43</f>
        <v>2.9327402002890086E-3</v>
      </c>
      <c r="J43" s="16">
        <f t="shared" si="18"/>
        <v>1.7089155817193722E-3</v>
      </c>
      <c r="K43" s="16">
        <f t="shared" si="19"/>
        <v>3.1087794465046873E-4</v>
      </c>
      <c r="L43" s="4">
        <f t="shared" si="25"/>
        <v>2.4813454246565281E-3</v>
      </c>
      <c r="M43" s="4">
        <f t="shared" si="26"/>
        <v>4.5139477563248059E-4</v>
      </c>
    </row>
    <row r="44" spans="1:13" x14ac:dyDescent="0.25">
      <c r="A44" t="s">
        <v>106</v>
      </c>
      <c r="B44" s="3">
        <f>Tourism!H43</f>
        <v>7497.4769050488885</v>
      </c>
      <c r="C44" s="9">
        <f>Fisheries!J44</f>
        <v>695.10432467218243</v>
      </c>
      <c r="D44" s="3">
        <f>B44+C44</f>
        <v>8192.5812297210705</v>
      </c>
      <c r="E44" s="3" t="s">
        <v>44</v>
      </c>
    </row>
    <row r="45" spans="1:13" x14ac:dyDescent="0.25">
      <c r="E45" s="3"/>
    </row>
    <row r="46" spans="1:13" s="7" customFormat="1" x14ac:dyDescent="0.25">
      <c r="A46" s="7" t="s">
        <v>25</v>
      </c>
      <c r="B46" s="10">
        <f>SUM(B4:B44)</f>
        <v>19457.462729265171</v>
      </c>
      <c r="C46" s="10">
        <f>SUM(C4:C44)</f>
        <v>5619.7426378854125</v>
      </c>
      <c r="D46" s="10">
        <f t="shared" ref="C46:E46" si="29">SUM(D4:D44)</f>
        <v>25077.205367150578</v>
      </c>
      <c r="E46" s="10">
        <f t="shared" si="29"/>
        <v>17918847.534400001</v>
      </c>
      <c r="F46" s="26">
        <f>D46/E46</f>
        <v>1.3994876243579952E-3</v>
      </c>
      <c r="G46" s="10">
        <f>'surface area'!H3</f>
        <v>224619.84</v>
      </c>
      <c r="H46" s="30">
        <f>D46/G46</f>
        <v>0.11164287788269539</v>
      </c>
      <c r="J46" s="17"/>
      <c r="K46" s="17"/>
      <c r="L46" s="13"/>
      <c r="M46" s="13"/>
    </row>
    <row r="47" spans="1:13" s="10" customFormat="1" x14ac:dyDescent="0.25">
      <c r="A47" s="10" t="s">
        <v>79</v>
      </c>
      <c r="B47" s="10">
        <f>B46/1000</f>
        <v>19.457462729265171</v>
      </c>
      <c r="C47" s="10">
        <f>C46/1000</f>
        <v>5.6197426378854125</v>
      </c>
      <c r="D47" s="10">
        <f t="shared" ref="D47" si="30">D46/1000</f>
        <v>25.077205367150579</v>
      </c>
      <c r="E47" s="10">
        <f>E46/1000</f>
        <v>17918.8475344</v>
      </c>
      <c r="F47" s="27"/>
      <c r="H47" s="27"/>
      <c r="J47" s="17"/>
      <c r="K47" s="17"/>
      <c r="L47" s="13"/>
      <c r="M47" s="13"/>
    </row>
    <row r="48" spans="1:13" x14ac:dyDescent="0.25">
      <c r="H48" s="28"/>
    </row>
    <row r="49" spans="1:8" x14ac:dyDescent="0.25">
      <c r="A49" t="s">
        <v>107</v>
      </c>
      <c r="B49" s="3">
        <v>35.799999999999997</v>
      </c>
      <c r="H49" s="28"/>
    </row>
    <row r="50" spans="1:8" x14ac:dyDescent="0.25">
      <c r="H50" s="28"/>
    </row>
    <row r="51" spans="1:8" x14ac:dyDescent="0.25">
      <c r="A51" t="s">
        <v>108</v>
      </c>
      <c r="B51" s="4">
        <f>B47/B49</f>
        <v>0.54350454551020033</v>
      </c>
      <c r="H51" s="28"/>
    </row>
    <row r="52" spans="1:8" x14ac:dyDescent="0.25">
      <c r="H52" s="28"/>
    </row>
    <row r="53" spans="1:8" x14ac:dyDescent="0.25">
      <c r="H53" s="28"/>
    </row>
    <row r="54" spans="1:8" x14ac:dyDescent="0.25">
      <c r="H54" s="28"/>
    </row>
    <row r="55" spans="1:8" x14ac:dyDescent="0.25">
      <c r="G55" s="6"/>
      <c r="H55" s="28"/>
    </row>
    <row r="56" spans="1:8" x14ac:dyDescent="0.25">
      <c r="G56" s="6"/>
      <c r="H56" s="28"/>
    </row>
  </sheetData>
  <pageMargins left="0.7" right="0.7"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9"/>
  <sheetViews>
    <sheetView topLeftCell="A24" workbookViewId="0">
      <pane xSplit="1" topLeftCell="C1" activePane="topRight" state="frozen"/>
      <selection pane="topRight" activeCell="A34" sqref="A34"/>
    </sheetView>
  </sheetViews>
  <sheetFormatPr defaultRowHeight="15" x14ac:dyDescent="0.25"/>
  <cols>
    <col min="1" max="1" width="53.7109375" bestFit="1" customWidth="1"/>
    <col min="2" max="2" width="41.5703125" bestFit="1" customWidth="1"/>
    <col min="3" max="3" width="42.140625" bestFit="1" customWidth="1"/>
    <col min="4" max="4" width="36.5703125" bestFit="1" customWidth="1"/>
    <col min="5" max="5" width="34.28515625" bestFit="1" customWidth="1"/>
    <col min="6" max="6" width="38.140625" style="3" bestFit="1" customWidth="1"/>
    <col min="7" max="7" width="57.85546875" style="7" bestFit="1" customWidth="1"/>
    <col min="8" max="8" width="21.28515625" bestFit="1" customWidth="1"/>
  </cols>
  <sheetData>
    <row r="1" spans="1:8" x14ac:dyDescent="0.25">
      <c r="B1" s="3" t="s">
        <v>41</v>
      </c>
      <c r="C1" s="9" t="s">
        <v>40</v>
      </c>
      <c r="D1" t="s">
        <v>92</v>
      </c>
      <c r="E1" t="s">
        <v>30</v>
      </c>
      <c r="F1" s="3" t="s">
        <v>93</v>
      </c>
      <c r="G1" s="10" t="s">
        <v>94</v>
      </c>
      <c r="H1" s="8" t="s">
        <v>105</v>
      </c>
    </row>
    <row r="2" spans="1:8" x14ac:dyDescent="0.25">
      <c r="A2" s="2" t="s">
        <v>3</v>
      </c>
      <c r="B2" s="6">
        <v>1871814</v>
      </c>
      <c r="C2" s="9">
        <f t="shared" ref="C2:C41" si="0">(B2/1000)*1.1</f>
        <v>2058.9954000000002</v>
      </c>
      <c r="D2" s="3">
        <f t="shared" ref="D2:D41" si="1">C2*$C$44</f>
        <v>715.56720635123088</v>
      </c>
      <c r="E2" s="1">
        <v>0.23199999999999998</v>
      </c>
      <c r="F2" s="3">
        <f>(($E$9/E2)*$C$45)*C2</f>
        <v>730.12529779079046</v>
      </c>
      <c r="G2" s="10">
        <f>D2+F2</f>
        <v>1445.6925041420213</v>
      </c>
      <c r="H2" s="3">
        <f>C2-D2-F2</f>
        <v>613.30289585797891</v>
      </c>
    </row>
    <row r="3" spans="1:8" x14ac:dyDescent="0.25">
      <c r="A3" s="2" t="s">
        <v>9</v>
      </c>
      <c r="B3" s="6">
        <v>1177549</v>
      </c>
      <c r="C3" s="9">
        <f t="shared" si="0"/>
        <v>1295.3039000000001</v>
      </c>
      <c r="D3" s="3">
        <f t="shared" si="1"/>
        <v>450.1598173064661</v>
      </c>
      <c r="E3" s="1">
        <v>0.15000000000000002</v>
      </c>
      <c r="F3" s="3">
        <f t="shared" ref="F3:F41" si="2">(($E$9/E3)*$C$45)*C3</f>
        <v>710.41221301857763</v>
      </c>
      <c r="G3" s="10">
        <f t="shared" ref="G3:G41" si="3">D3+F3</f>
        <v>1160.5720303250437</v>
      </c>
      <c r="H3" s="3">
        <f t="shared" ref="H3:H41" si="4">C3-D3-F3</f>
        <v>134.73186967495644</v>
      </c>
    </row>
    <row r="4" spans="1:8" x14ac:dyDescent="0.25">
      <c r="A4" s="2" t="s">
        <v>8</v>
      </c>
      <c r="B4" s="6">
        <v>3097453</v>
      </c>
      <c r="C4" s="9">
        <f t="shared" si="0"/>
        <v>3407.1983000000005</v>
      </c>
      <c r="D4" s="3">
        <f t="shared" si="1"/>
        <v>1184.1111296390768</v>
      </c>
      <c r="E4" s="1">
        <v>0.24199999999999999</v>
      </c>
      <c r="F4" s="3">
        <f t="shared" si="2"/>
        <v>1158.2759777196788</v>
      </c>
      <c r="G4" s="10">
        <f t="shared" si="3"/>
        <v>2342.3871073587557</v>
      </c>
      <c r="H4" s="3">
        <f t="shared" si="4"/>
        <v>1064.8111926412448</v>
      </c>
    </row>
    <row r="5" spans="1:8" x14ac:dyDescent="0.25">
      <c r="A5" s="2" t="s">
        <v>24</v>
      </c>
      <c r="B5" s="6">
        <v>137445</v>
      </c>
      <c r="C5" s="9">
        <f t="shared" si="0"/>
        <v>151.18950000000001</v>
      </c>
      <c r="D5" s="3">
        <f t="shared" si="1"/>
        <v>52.543219933681932</v>
      </c>
      <c r="E5" s="1">
        <v>0.79400000000000004</v>
      </c>
      <c r="F5" s="3">
        <f t="shared" si="2"/>
        <v>15.665026476953638</v>
      </c>
      <c r="G5" s="10">
        <f t="shared" si="3"/>
        <v>68.208246410635567</v>
      </c>
      <c r="H5" s="3">
        <f t="shared" si="4"/>
        <v>82.981253589364428</v>
      </c>
    </row>
    <row r="6" spans="1:8" x14ac:dyDescent="0.25">
      <c r="A6" s="2" t="s">
        <v>16</v>
      </c>
      <c r="B6" s="6">
        <v>1385144</v>
      </c>
      <c r="C6" s="9">
        <f t="shared" si="0"/>
        <v>1523.6584</v>
      </c>
      <c r="D6" s="3">
        <f t="shared" si="1"/>
        <v>529.52035964800416</v>
      </c>
      <c r="E6" s="1">
        <v>0.32</v>
      </c>
      <c r="F6" s="3">
        <f t="shared" si="2"/>
        <v>391.71268604961102</v>
      </c>
      <c r="G6" s="10">
        <f t="shared" si="3"/>
        <v>921.23304569761513</v>
      </c>
      <c r="H6" s="3">
        <f t="shared" si="4"/>
        <v>602.4253543023849</v>
      </c>
    </row>
    <row r="7" spans="1:8" x14ac:dyDescent="0.25">
      <c r="A7" s="2" t="s">
        <v>10</v>
      </c>
      <c r="B7" s="6">
        <v>1148955</v>
      </c>
      <c r="C7" s="9">
        <f t="shared" si="0"/>
        <v>1263.8505</v>
      </c>
      <c r="D7" s="3">
        <f t="shared" si="1"/>
        <v>439.22874792756028</v>
      </c>
      <c r="E7" s="1">
        <v>0.71599999999999997</v>
      </c>
      <c r="F7" s="3">
        <f t="shared" si="2"/>
        <v>145.21540392375988</v>
      </c>
      <c r="G7" s="10">
        <f t="shared" si="3"/>
        <v>584.44415185132016</v>
      </c>
      <c r="H7" s="3">
        <f t="shared" si="4"/>
        <v>679.40634814867985</v>
      </c>
    </row>
    <row r="8" spans="1:8" x14ac:dyDescent="0.25">
      <c r="A8" s="2" t="s">
        <v>20</v>
      </c>
      <c r="B8" s="6">
        <v>2410154</v>
      </c>
      <c r="C8" s="9">
        <f t="shared" si="0"/>
        <v>2651.1694000000002</v>
      </c>
      <c r="D8" s="3">
        <f t="shared" si="1"/>
        <v>921.36674084938159</v>
      </c>
      <c r="E8" s="1">
        <v>0.64600000000000002</v>
      </c>
      <c r="F8" s="3">
        <f t="shared" si="2"/>
        <v>337.6252862134142</v>
      </c>
      <c r="G8" s="10">
        <f t="shared" si="3"/>
        <v>1258.9920270627958</v>
      </c>
      <c r="H8" s="3">
        <f t="shared" si="4"/>
        <v>1392.1773729372044</v>
      </c>
    </row>
    <row r="9" spans="1:8" x14ac:dyDescent="0.25">
      <c r="A9" s="2" t="s">
        <v>0</v>
      </c>
      <c r="B9" s="6">
        <v>2176084</v>
      </c>
      <c r="C9" s="9">
        <f t="shared" si="0"/>
        <v>2393.6923999999999</v>
      </c>
      <c r="D9" s="3">
        <f t="shared" si="1"/>
        <v>831.88519193980358</v>
      </c>
      <c r="E9" s="1">
        <v>0.21800000000000003</v>
      </c>
      <c r="F9" s="3">
        <f t="shared" si="2"/>
        <v>903.3204708072949</v>
      </c>
      <c r="G9" s="10">
        <f t="shared" si="3"/>
        <v>1735.2056627470984</v>
      </c>
      <c r="H9" s="3">
        <f t="shared" si="4"/>
        <v>658.48673725290155</v>
      </c>
    </row>
    <row r="10" spans="1:8" x14ac:dyDescent="0.25">
      <c r="A10" s="2" t="s">
        <v>22</v>
      </c>
      <c r="B10" s="6">
        <v>1230894</v>
      </c>
      <c r="C10" s="9">
        <f t="shared" si="0"/>
        <v>1353.9834000000001</v>
      </c>
      <c r="D10" s="3">
        <f t="shared" si="1"/>
        <v>470.55283318454281</v>
      </c>
      <c r="E10" s="1">
        <v>0.57400000000000007</v>
      </c>
      <c r="F10" s="3">
        <f t="shared" si="2"/>
        <v>194.05795587359751</v>
      </c>
      <c r="G10" s="10">
        <f t="shared" si="3"/>
        <v>664.61078905814031</v>
      </c>
      <c r="H10" s="3">
        <f t="shared" si="4"/>
        <v>689.37261094185976</v>
      </c>
    </row>
    <row r="11" spans="1:8" x14ac:dyDescent="0.25">
      <c r="A11" s="2" t="s">
        <v>19</v>
      </c>
      <c r="B11" s="6">
        <v>323440</v>
      </c>
      <c r="C11" s="9">
        <f t="shared" si="0"/>
        <v>355.78400000000005</v>
      </c>
      <c r="D11" s="3">
        <f t="shared" si="1"/>
        <v>123.64639714322155</v>
      </c>
      <c r="E11" s="1">
        <v>0.23199999999999998</v>
      </c>
      <c r="F11" s="3">
        <f t="shared" si="2"/>
        <v>126.16196177475607</v>
      </c>
      <c r="G11" s="10">
        <f t="shared" si="3"/>
        <v>249.80835891797761</v>
      </c>
      <c r="H11" s="3">
        <f t="shared" si="4"/>
        <v>105.97564108202243</v>
      </c>
    </row>
    <row r="12" spans="1:8" x14ac:dyDescent="0.25">
      <c r="A12" s="2" t="s">
        <v>7</v>
      </c>
      <c r="B12" s="6">
        <v>323244</v>
      </c>
      <c r="C12" s="9">
        <f t="shared" si="0"/>
        <v>355.56840000000005</v>
      </c>
      <c r="D12" s="3">
        <f t="shared" si="1"/>
        <v>123.57146920035711</v>
      </c>
      <c r="E12" s="1">
        <v>0.57400000000000007</v>
      </c>
      <c r="F12" s="3">
        <f t="shared" si="2"/>
        <v>50.961390573359814</v>
      </c>
      <c r="G12" s="10">
        <f t="shared" si="3"/>
        <v>174.53285977371692</v>
      </c>
      <c r="H12" s="3">
        <f t="shared" si="4"/>
        <v>181.03554022628313</v>
      </c>
    </row>
    <row r="13" spans="1:8" x14ac:dyDescent="0.25">
      <c r="A13" s="2" t="s">
        <v>5</v>
      </c>
      <c r="B13" s="6">
        <v>234676</v>
      </c>
      <c r="C13" s="9">
        <f t="shared" si="0"/>
        <v>258.14359999999999</v>
      </c>
      <c r="D13" s="3">
        <f t="shared" si="1"/>
        <v>89.71321387578115</v>
      </c>
      <c r="E13" s="1">
        <v>0.65200000000000002</v>
      </c>
      <c r="F13" s="3">
        <f t="shared" si="2"/>
        <v>32.571950902875635</v>
      </c>
      <c r="G13" s="10">
        <f t="shared" si="3"/>
        <v>122.28516477865679</v>
      </c>
      <c r="H13" s="3">
        <f t="shared" si="4"/>
        <v>135.8584352213432</v>
      </c>
    </row>
    <row r="14" spans="1:8" x14ac:dyDescent="0.25">
      <c r="A14" s="2" t="s">
        <v>2</v>
      </c>
      <c r="B14" s="6">
        <v>18285</v>
      </c>
      <c r="C14" s="9">
        <f t="shared" si="0"/>
        <v>20.113500000000002</v>
      </c>
      <c r="D14" s="3">
        <f t="shared" si="1"/>
        <v>6.9900889554903722</v>
      </c>
      <c r="E14" s="1">
        <v>0.6140000000000001</v>
      </c>
      <c r="F14" s="3">
        <f t="shared" si="2"/>
        <v>2.6949411360646267</v>
      </c>
      <c r="G14" s="10">
        <f t="shared" si="3"/>
        <v>9.6850300915549994</v>
      </c>
      <c r="H14" s="3">
        <f t="shared" si="4"/>
        <v>10.428469908445004</v>
      </c>
    </row>
    <row r="15" spans="1:8" x14ac:dyDescent="0.25">
      <c r="A15" s="2" t="s">
        <v>6</v>
      </c>
      <c r="B15" s="6">
        <v>113657</v>
      </c>
      <c r="C15" s="9">
        <f t="shared" si="0"/>
        <v>125.0227</v>
      </c>
      <c r="D15" s="3">
        <f t="shared" si="1"/>
        <v>43.449414296645841</v>
      </c>
      <c r="E15" s="1">
        <v>0.65200000000000002</v>
      </c>
      <c r="F15" s="3">
        <f t="shared" si="2"/>
        <v>15.775069558745402</v>
      </c>
      <c r="G15" s="10">
        <f t="shared" si="3"/>
        <v>59.224483855391242</v>
      </c>
      <c r="H15" s="3">
        <f t="shared" si="4"/>
        <v>65.798216144608759</v>
      </c>
    </row>
    <row r="16" spans="1:8" x14ac:dyDescent="0.25">
      <c r="A16" s="2" t="s">
        <v>14</v>
      </c>
      <c r="B16" s="6">
        <v>92503</v>
      </c>
      <c r="C16" s="9">
        <f t="shared" si="0"/>
        <v>101.75330000000001</v>
      </c>
      <c r="D16" s="3">
        <f t="shared" si="1"/>
        <v>35.362548463206231</v>
      </c>
      <c r="E16" s="1">
        <v>0.80600000000000005</v>
      </c>
      <c r="F16" s="3">
        <f t="shared" si="2"/>
        <v>10.385883960558534</v>
      </c>
      <c r="G16" s="10">
        <f t="shared" si="3"/>
        <v>45.748432423764768</v>
      </c>
      <c r="H16" s="3">
        <f t="shared" si="4"/>
        <v>56.004867576235242</v>
      </c>
    </row>
    <row r="17" spans="1:8" x14ac:dyDescent="0.25">
      <c r="A17" s="2" t="s">
        <v>15</v>
      </c>
      <c r="B17" s="6">
        <v>32024</v>
      </c>
      <c r="C17" s="9">
        <f t="shared" si="0"/>
        <v>35.226400000000005</v>
      </c>
      <c r="D17" s="3">
        <f t="shared" si="1"/>
        <v>12.24230837903329</v>
      </c>
      <c r="E17" s="1">
        <v>0.6</v>
      </c>
      <c r="F17" s="3">
        <f t="shared" si="2"/>
        <v>4.8299987324746017</v>
      </c>
      <c r="G17" s="10">
        <f t="shared" si="3"/>
        <v>17.072307111507889</v>
      </c>
      <c r="H17" s="3">
        <f t="shared" si="4"/>
        <v>18.154092888492116</v>
      </c>
    </row>
    <row r="18" spans="1:8" x14ac:dyDescent="0.25">
      <c r="A18" s="2" t="s">
        <v>18</v>
      </c>
      <c r="B18" s="6">
        <v>21984</v>
      </c>
      <c r="C18" s="9">
        <f t="shared" si="0"/>
        <v>24.182400000000005</v>
      </c>
      <c r="D18" s="3">
        <f t="shared" si="1"/>
        <v>8.4041627343451104</v>
      </c>
      <c r="E18" s="1">
        <v>0.57400000000000007</v>
      </c>
      <c r="F18" s="3">
        <f t="shared" si="2"/>
        <v>3.4659118510003037</v>
      </c>
      <c r="G18" s="10">
        <f t="shared" si="3"/>
        <v>11.870074585345414</v>
      </c>
      <c r="H18" s="3">
        <f t="shared" si="4"/>
        <v>12.312325414654591</v>
      </c>
    </row>
    <row r="19" spans="1:8" x14ac:dyDescent="0.25">
      <c r="A19" s="2" t="s">
        <v>13</v>
      </c>
      <c r="B19" s="6">
        <v>61302</v>
      </c>
      <c r="C19" s="9">
        <f t="shared" si="0"/>
        <v>67.432200000000009</v>
      </c>
      <c r="D19" s="3">
        <f t="shared" si="1"/>
        <v>23.434860987118995</v>
      </c>
      <c r="E19" s="1">
        <v>0.54</v>
      </c>
      <c r="F19" s="3">
        <f t="shared" si="2"/>
        <v>10.273148690501499</v>
      </c>
      <c r="G19" s="10">
        <f t="shared" si="3"/>
        <v>33.708009677620495</v>
      </c>
      <c r="H19" s="3">
        <f t="shared" si="4"/>
        <v>33.724190322379513</v>
      </c>
    </row>
    <row r="20" spans="1:8" x14ac:dyDescent="0.25">
      <c r="A20" s="2" t="s">
        <v>23</v>
      </c>
      <c r="B20" s="6">
        <v>49991</v>
      </c>
      <c r="C20" s="9">
        <f t="shared" si="0"/>
        <v>54.990100000000005</v>
      </c>
      <c r="D20" s="3">
        <f t="shared" si="1"/>
        <v>19.110830570080349</v>
      </c>
      <c r="E20" s="1">
        <v>0.53599999999999992</v>
      </c>
      <c r="F20" s="3">
        <f t="shared" si="2"/>
        <v>8.4401414413235472</v>
      </c>
      <c r="G20" s="10">
        <f t="shared" si="3"/>
        <v>27.550972011403896</v>
      </c>
      <c r="H20" s="3">
        <f t="shared" si="4"/>
        <v>27.439127988596113</v>
      </c>
    </row>
    <row r="21" spans="1:8" x14ac:dyDescent="0.25">
      <c r="A21" s="2" t="s">
        <v>1</v>
      </c>
      <c r="B21" s="6">
        <v>28259</v>
      </c>
      <c r="C21" s="9">
        <f t="shared" si="0"/>
        <v>31.084900000000005</v>
      </c>
      <c r="D21" s="3">
        <f t="shared" si="1"/>
        <v>10.803003762275223</v>
      </c>
      <c r="E21" s="1">
        <v>0.31399999999999995</v>
      </c>
      <c r="F21" s="3">
        <f t="shared" si="2"/>
        <v>8.1442262758146207</v>
      </c>
      <c r="G21" s="10">
        <f t="shared" si="3"/>
        <v>18.947230038089842</v>
      </c>
      <c r="H21" s="3">
        <f t="shared" si="4"/>
        <v>12.137669961910159</v>
      </c>
    </row>
    <row r="22" spans="1:8" x14ac:dyDescent="0.25">
      <c r="A22" s="2" t="s">
        <v>12</v>
      </c>
      <c r="B22" s="6">
        <v>28465</v>
      </c>
      <c r="C22" s="9">
        <f t="shared" si="0"/>
        <v>31.311500000000002</v>
      </c>
      <c r="D22" s="3">
        <f t="shared" si="1"/>
        <v>10.88175455936743</v>
      </c>
      <c r="E22" s="1">
        <v>0.65200000000000002</v>
      </c>
      <c r="F22" s="3">
        <f t="shared" si="2"/>
        <v>3.9508112565850575</v>
      </c>
      <c r="G22" s="10">
        <f t="shared" si="3"/>
        <v>14.832565815952487</v>
      </c>
      <c r="H22" s="3">
        <f t="shared" si="4"/>
        <v>16.478934184047514</v>
      </c>
    </row>
    <row r="23" spans="1:8" x14ac:dyDescent="0.25">
      <c r="A23" s="2" t="s">
        <v>4</v>
      </c>
      <c r="B23" s="6">
        <v>19106</v>
      </c>
      <c r="C23" s="9">
        <f t="shared" si="0"/>
        <v>21.016600000000004</v>
      </c>
      <c r="D23" s="3">
        <f t="shared" si="1"/>
        <v>7.3039452875908699</v>
      </c>
      <c r="E23" s="1">
        <v>0.60599999999999998</v>
      </c>
      <c r="F23" s="3">
        <f t="shared" si="2"/>
        <v>2.8531186938589292</v>
      </c>
      <c r="G23" s="10">
        <f t="shared" si="3"/>
        <v>10.157063981449799</v>
      </c>
      <c r="H23" s="3">
        <f t="shared" si="4"/>
        <v>10.859536018550203</v>
      </c>
    </row>
    <row r="24" spans="1:8" x14ac:dyDescent="0.25">
      <c r="A24" s="2" t="s">
        <v>11</v>
      </c>
      <c r="B24" s="6">
        <v>18108</v>
      </c>
      <c r="C24" s="9">
        <f t="shared" si="0"/>
        <v>19.918800000000001</v>
      </c>
      <c r="D24" s="3">
        <f t="shared" si="1"/>
        <v>6.9224244356587175</v>
      </c>
      <c r="E24" s="1">
        <v>0.83599999999999997</v>
      </c>
      <c r="F24" s="3">
        <f t="shared" si="2"/>
        <v>1.9601391296759949</v>
      </c>
      <c r="G24" s="10">
        <f t="shared" si="3"/>
        <v>8.8825635653347117</v>
      </c>
      <c r="H24" s="3">
        <f t="shared" si="4"/>
        <v>11.036236434665289</v>
      </c>
    </row>
    <row r="25" spans="1:8" x14ac:dyDescent="0.25">
      <c r="A25" s="2" t="s">
        <v>17</v>
      </c>
      <c r="B25" s="6">
        <v>12490</v>
      </c>
      <c r="C25" s="9">
        <f t="shared" si="0"/>
        <v>13.739000000000001</v>
      </c>
      <c r="D25" s="3">
        <f t="shared" si="1"/>
        <v>4.7747449304935596</v>
      </c>
      <c r="E25" s="1">
        <v>0.52600000000000002</v>
      </c>
      <c r="F25" s="3">
        <f t="shared" si="2"/>
        <v>2.1488167679590031</v>
      </c>
      <c r="G25" s="10">
        <f t="shared" si="3"/>
        <v>6.9235616984525628</v>
      </c>
      <c r="H25" s="3">
        <f t="shared" si="4"/>
        <v>6.815438301547438</v>
      </c>
    </row>
    <row r="26" spans="1:8" x14ac:dyDescent="0.25">
      <c r="A26" s="2" t="s">
        <v>21</v>
      </c>
      <c r="B26" s="6">
        <v>13291</v>
      </c>
      <c r="C26" s="9">
        <f t="shared" si="0"/>
        <v>14.620100000000001</v>
      </c>
      <c r="D26" s="3">
        <f t="shared" si="1"/>
        <v>5.0809555541385034</v>
      </c>
      <c r="E26" s="1">
        <v>0.60599999999999998</v>
      </c>
      <c r="F26" s="3">
        <f t="shared" si="2"/>
        <v>1.9847587438542353</v>
      </c>
      <c r="G26" s="10">
        <f t="shared" si="3"/>
        <v>7.0657142979927388</v>
      </c>
      <c r="H26" s="3">
        <f t="shared" si="4"/>
        <v>7.554385702007262</v>
      </c>
    </row>
    <row r="27" spans="1:8" x14ac:dyDescent="0.25">
      <c r="A27" t="s">
        <v>80</v>
      </c>
      <c r="B27" s="6">
        <f>B17/(175000/58000)</f>
        <v>10613.668571428572</v>
      </c>
      <c r="C27" s="9">
        <f t="shared" si="0"/>
        <v>11.67503542857143</v>
      </c>
      <c r="D27" s="3">
        <f t="shared" si="1"/>
        <v>4.0574507770510326</v>
      </c>
      <c r="E27" s="1">
        <v>0.89</v>
      </c>
      <c r="F27" s="3">
        <f t="shared" si="2"/>
        <v>1.0791907280264277</v>
      </c>
      <c r="G27" s="10">
        <f t="shared" si="3"/>
        <v>5.1366415050774599</v>
      </c>
      <c r="H27" s="3">
        <f t="shared" si="4"/>
        <v>6.5383939234939703</v>
      </c>
    </row>
    <row r="28" spans="1:8" x14ac:dyDescent="0.25">
      <c r="A28" t="s">
        <v>81</v>
      </c>
      <c r="B28" s="6">
        <f>B25/(135000/50000)</f>
        <v>4625.9259259259252</v>
      </c>
      <c r="C28" s="9">
        <f t="shared" si="0"/>
        <v>5.0885185185185176</v>
      </c>
      <c r="D28" s="3">
        <f t="shared" si="1"/>
        <v>1.7684240483309477</v>
      </c>
      <c r="E28" s="1">
        <v>0.89</v>
      </c>
      <c r="F28" s="3">
        <f t="shared" si="2"/>
        <v>0.47036105698977754</v>
      </c>
      <c r="G28" s="10">
        <f t="shared" si="3"/>
        <v>2.2387851053207251</v>
      </c>
      <c r="H28" s="3">
        <f t="shared" si="4"/>
        <v>2.8497334131977925</v>
      </c>
    </row>
    <row r="29" spans="1:8" x14ac:dyDescent="0.25">
      <c r="A29" t="s">
        <v>29</v>
      </c>
      <c r="B29" s="6">
        <f>B26/(65800/8300)</f>
        <v>1676.5243161094224</v>
      </c>
      <c r="C29" s="9">
        <f t="shared" si="0"/>
        <v>1.844176747720365</v>
      </c>
      <c r="D29" s="3">
        <f t="shared" si="1"/>
        <v>0.64091080698099667</v>
      </c>
      <c r="E29" s="1">
        <v>0.86</v>
      </c>
      <c r="F29" s="3">
        <f t="shared" si="2"/>
        <v>0.17641442584714132</v>
      </c>
      <c r="G29" s="10">
        <f t="shared" si="3"/>
        <v>0.81732523282813796</v>
      </c>
      <c r="H29" s="3">
        <f t="shared" si="4"/>
        <v>1.0268515148922268</v>
      </c>
    </row>
    <row r="30" spans="1:8" x14ac:dyDescent="0.25">
      <c r="A30" t="s">
        <v>85</v>
      </c>
      <c r="B30" s="6">
        <f>B26/(57000/3200)</f>
        <v>746.16140350877197</v>
      </c>
      <c r="C30" s="9">
        <f t="shared" si="0"/>
        <v>0.82077754385964918</v>
      </c>
      <c r="D30" s="3">
        <f t="shared" si="1"/>
        <v>0.28524662760075808</v>
      </c>
      <c r="E30" s="1">
        <v>0.89</v>
      </c>
      <c r="F30" s="3">
        <f t="shared" si="2"/>
        <v>7.5869192905226368E-2</v>
      </c>
      <c r="G30" s="10">
        <f t="shared" si="3"/>
        <v>0.36111582050598445</v>
      </c>
      <c r="H30" s="3">
        <f t="shared" si="4"/>
        <v>0.45966172335366468</v>
      </c>
    </row>
    <row r="31" spans="1:8" x14ac:dyDescent="0.25">
      <c r="A31" t="s">
        <v>28</v>
      </c>
      <c r="B31" s="6">
        <f>B26/(65800/4900)</f>
        <v>989.75531914893611</v>
      </c>
      <c r="C31" s="9">
        <f t="shared" si="0"/>
        <v>1.0887308510638298</v>
      </c>
      <c r="D31" s="3">
        <f t="shared" si="1"/>
        <v>0.37836903062733535</v>
      </c>
      <c r="E31" s="1">
        <v>0.89</v>
      </c>
      <c r="F31" s="3">
        <f t="shared" si="2"/>
        <v>0.10063765947202566</v>
      </c>
      <c r="G31" s="10">
        <f t="shared" si="3"/>
        <v>0.47900669009936103</v>
      </c>
      <c r="H31" s="3">
        <f t="shared" si="4"/>
        <v>0.60972416096446891</v>
      </c>
    </row>
    <row r="32" spans="1:8" x14ac:dyDescent="0.25">
      <c r="A32" t="s">
        <v>82</v>
      </c>
      <c r="B32" s="6">
        <f>B26/(57000/1100)</f>
        <v>256.49298245614034</v>
      </c>
      <c r="C32" s="9">
        <f t="shared" si="0"/>
        <v>0.2821422807017544</v>
      </c>
      <c r="D32" s="3">
        <f t="shared" si="1"/>
        <v>9.805352823776059E-2</v>
      </c>
      <c r="E32" s="1">
        <v>0.89</v>
      </c>
      <c r="F32" s="3">
        <f t="shared" si="2"/>
        <v>2.6080035061171562E-2</v>
      </c>
      <c r="G32" s="10">
        <f t="shared" si="3"/>
        <v>0.12413356329893216</v>
      </c>
      <c r="H32" s="3">
        <f t="shared" si="4"/>
        <v>0.15800871740282224</v>
      </c>
    </row>
    <row r="33" spans="1:8" x14ac:dyDescent="0.25">
      <c r="A33" s="2" t="s">
        <v>86</v>
      </c>
      <c r="B33" s="6">
        <f>B26/(57000/200)</f>
        <v>46.635087719298248</v>
      </c>
      <c r="C33" s="9">
        <f t="shared" si="0"/>
        <v>5.1298596491228074E-2</v>
      </c>
      <c r="D33" s="3">
        <f t="shared" si="1"/>
        <v>1.782791422504738E-2</v>
      </c>
      <c r="E33" s="1">
        <v>0.89</v>
      </c>
      <c r="F33" s="3">
        <f t="shared" si="2"/>
        <v>4.741824556576648E-3</v>
      </c>
      <c r="G33" s="10">
        <f t="shared" si="3"/>
        <v>2.2569738781624028E-2</v>
      </c>
      <c r="H33" s="3">
        <f t="shared" si="4"/>
        <v>2.8728857709604042E-2</v>
      </c>
    </row>
    <row r="34" spans="1:8" x14ac:dyDescent="0.25">
      <c r="A34" t="s">
        <v>135</v>
      </c>
      <c r="B34" s="6">
        <f>B26/(57000/100)</f>
        <v>23.317543859649124</v>
      </c>
      <c r="C34" s="9">
        <f t="shared" si="0"/>
        <v>2.5649298245614037E-2</v>
      </c>
      <c r="D34" s="3">
        <f t="shared" si="1"/>
        <v>8.9139571125236901E-3</v>
      </c>
      <c r="E34" s="1">
        <v>0.89</v>
      </c>
      <c r="F34" s="3">
        <f t="shared" si="2"/>
        <v>2.370912278288324E-3</v>
      </c>
      <c r="G34" s="10">
        <f t="shared" si="3"/>
        <v>1.1284869390812014E-2</v>
      </c>
      <c r="H34" s="3">
        <f t="shared" si="4"/>
        <v>1.4364428854802021E-2</v>
      </c>
    </row>
    <row r="35" spans="1:8" x14ac:dyDescent="0.25">
      <c r="A35" t="s">
        <v>114</v>
      </c>
      <c r="B35" s="6">
        <v>0</v>
      </c>
      <c r="C35" s="9">
        <f t="shared" si="0"/>
        <v>0</v>
      </c>
      <c r="D35" s="3">
        <f t="shared" si="1"/>
        <v>0</v>
      </c>
      <c r="E35" s="1">
        <v>0.9</v>
      </c>
      <c r="F35" s="3">
        <f t="shared" si="2"/>
        <v>0</v>
      </c>
      <c r="G35" s="10">
        <f t="shared" si="3"/>
        <v>0</v>
      </c>
      <c r="H35" s="3">
        <f t="shared" si="4"/>
        <v>0</v>
      </c>
    </row>
    <row r="36" spans="1:8" x14ac:dyDescent="0.25">
      <c r="A36" t="s">
        <v>110</v>
      </c>
      <c r="B36" s="6">
        <v>11581</v>
      </c>
      <c r="C36" s="9">
        <f t="shared" si="0"/>
        <v>12.739100000000001</v>
      </c>
      <c r="D36" s="3">
        <f t="shared" si="1"/>
        <v>4.4272474811886244</v>
      </c>
      <c r="E36" s="1">
        <v>0.22</v>
      </c>
      <c r="F36" s="3">
        <f t="shared" si="2"/>
        <v>4.7637182897589598</v>
      </c>
      <c r="G36" s="10">
        <f t="shared" si="3"/>
        <v>9.1909657709475852</v>
      </c>
      <c r="H36" s="3">
        <f t="shared" si="4"/>
        <v>3.5481342290524163</v>
      </c>
    </row>
    <row r="37" spans="1:8" x14ac:dyDescent="0.25">
      <c r="A37" t="s">
        <v>111</v>
      </c>
      <c r="B37" s="6">
        <v>1085273</v>
      </c>
      <c r="C37" s="9">
        <f t="shared" si="0"/>
        <v>1193.8003000000001</v>
      </c>
      <c r="D37" s="3">
        <f t="shared" si="1"/>
        <v>414.8840476342304</v>
      </c>
      <c r="E37" s="1">
        <v>0.75</v>
      </c>
      <c r="F37" s="3">
        <f t="shared" si="2"/>
        <v>130.94846900796668</v>
      </c>
      <c r="G37" s="10">
        <f t="shared" si="3"/>
        <v>545.83251664219711</v>
      </c>
      <c r="H37" s="3">
        <f t="shared" si="4"/>
        <v>647.967783357803</v>
      </c>
    </row>
    <row r="38" spans="1:8" x14ac:dyDescent="0.25">
      <c r="A38" t="s">
        <v>109</v>
      </c>
      <c r="B38" s="6">
        <v>464082</v>
      </c>
      <c r="C38" s="9">
        <f t="shared" si="0"/>
        <v>510.49020000000002</v>
      </c>
      <c r="D38" s="3">
        <f t="shared" si="1"/>
        <v>177.41178357352379</v>
      </c>
      <c r="E38" s="1">
        <v>0.26</v>
      </c>
      <c r="F38" s="3">
        <f t="shared" si="2"/>
        <v>161.52660541355598</v>
      </c>
      <c r="G38" s="10">
        <f t="shared" si="3"/>
        <v>338.93838898707975</v>
      </c>
      <c r="H38" s="3">
        <f t="shared" si="4"/>
        <v>171.55181101292024</v>
      </c>
    </row>
    <row r="39" spans="1:8" x14ac:dyDescent="0.25">
      <c r="A39" t="s">
        <v>112</v>
      </c>
      <c r="B39" s="6">
        <v>82371</v>
      </c>
      <c r="C39" s="9">
        <f t="shared" si="0"/>
        <v>90.608100000000007</v>
      </c>
      <c r="D39" s="3">
        <f t="shared" si="1"/>
        <v>31.489232559622501</v>
      </c>
      <c r="E39" s="1">
        <v>0.28999999999999998</v>
      </c>
      <c r="F39" s="3">
        <f t="shared" si="2"/>
        <v>25.703900453496001</v>
      </c>
      <c r="G39" s="10">
        <f t="shared" si="3"/>
        <v>57.193133013118498</v>
      </c>
      <c r="H39" s="3">
        <f t="shared" si="4"/>
        <v>33.41496698688151</v>
      </c>
    </row>
    <row r="40" spans="1:8" x14ac:dyDescent="0.25">
      <c r="A40" t="s">
        <v>113</v>
      </c>
      <c r="B40" s="6">
        <v>0</v>
      </c>
      <c r="C40" s="9">
        <f t="shared" si="0"/>
        <v>0</v>
      </c>
      <c r="D40" s="3">
        <f t="shared" si="1"/>
        <v>0</v>
      </c>
      <c r="E40" s="1">
        <v>0.26</v>
      </c>
      <c r="F40" s="3">
        <f t="shared" si="2"/>
        <v>0</v>
      </c>
      <c r="G40" s="7">
        <f t="shared" si="3"/>
        <v>0</v>
      </c>
      <c r="H40" s="3">
        <f t="shared" si="4"/>
        <v>0</v>
      </c>
    </row>
    <row r="41" spans="1:8" x14ac:dyDescent="0.25">
      <c r="A41" t="s">
        <v>115</v>
      </c>
      <c r="B41" s="6">
        <v>0</v>
      </c>
      <c r="C41" s="9">
        <f t="shared" si="0"/>
        <v>0</v>
      </c>
      <c r="D41" s="3">
        <f t="shared" si="1"/>
        <v>0</v>
      </c>
      <c r="E41" s="1">
        <v>0.19</v>
      </c>
      <c r="F41" s="3">
        <f t="shared" si="2"/>
        <v>0</v>
      </c>
      <c r="G41" s="7">
        <f t="shared" si="3"/>
        <v>0</v>
      </c>
      <c r="H41" s="3">
        <f t="shared" si="4"/>
        <v>0</v>
      </c>
    </row>
    <row r="43" spans="1:8" s="7" customFormat="1" x14ac:dyDescent="0.25">
      <c r="A43" s="7" t="s">
        <v>95</v>
      </c>
      <c r="F43" s="10"/>
      <c r="G43" s="10">
        <f>SUM(G2:G41)</f>
        <v>11959.985824216286</v>
      </c>
      <c r="H43" s="10">
        <f>SUM(H2:H41)</f>
        <v>7497.4769050488885</v>
      </c>
    </row>
    <row r="44" spans="1:8" x14ac:dyDescent="0.25">
      <c r="B44" t="s">
        <v>90</v>
      </c>
      <c r="C44" s="4">
        <f>2725/7841</f>
        <v>0.34753220252518813</v>
      </c>
    </row>
    <row r="45" spans="1:8" x14ac:dyDescent="0.25">
      <c r="B45" t="s">
        <v>91</v>
      </c>
      <c r="C45" s="4">
        <f>2959/7841</f>
        <v>0.3773753347787272</v>
      </c>
    </row>
    <row r="47" spans="1:8" x14ac:dyDescent="0.25">
      <c r="B47" t="s">
        <v>98</v>
      </c>
      <c r="C47" s="4">
        <f>SUM(C44:C46)</f>
        <v>0.72490753730391533</v>
      </c>
    </row>
    <row r="48" spans="1:8" x14ac:dyDescent="0.25">
      <c r="B48" t="s">
        <v>99</v>
      </c>
      <c r="C48" s="4">
        <f>1-C47</f>
        <v>0.27509246269608467</v>
      </c>
    </row>
    <row r="49" spans="2:2" x14ac:dyDescent="0.25">
      <c r="B49" t="s">
        <v>100</v>
      </c>
    </row>
  </sheetData>
  <pageMargins left="0.7" right="0.7" top="0.75" bottom="0.75" header="0.3" footer="0.3"/>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8"/>
  <sheetViews>
    <sheetView topLeftCell="A22" workbookViewId="0">
      <pane xSplit="1" topLeftCell="G1" activePane="topRight" state="frozen"/>
      <selection pane="topRight" activeCell="A35" sqref="A35"/>
    </sheetView>
  </sheetViews>
  <sheetFormatPr defaultRowHeight="15" x14ac:dyDescent="0.25"/>
  <cols>
    <col min="1" max="1" width="49.28515625" bestFit="1" customWidth="1"/>
    <col min="2" max="2" width="40.140625" customWidth="1"/>
    <col min="3" max="3" width="46.42578125" bestFit="1" customWidth="1"/>
    <col min="4" max="4" width="46.42578125" style="1" customWidth="1"/>
    <col min="5" max="5" width="46.85546875" customWidth="1"/>
    <col min="6" max="6" width="67" customWidth="1"/>
    <col min="7" max="7" width="23.140625" customWidth="1"/>
    <col min="8" max="8" width="68.42578125" customWidth="1"/>
    <col min="9" max="9" width="63.42578125" bestFit="1" customWidth="1"/>
    <col min="10" max="10" width="21.28515625" bestFit="1" customWidth="1"/>
  </cols>
  <sheetData>
    <row r="1" spans="1:12" s="7" customFormat="1" x14ac:dyDescent="0.25">
      <c r="A1" s="10"/>
      <c r="B1" s="15" t="s">
        <v>33</v>
      </c>
      <c r="D1" s="12"/>
      <c r="H1" s="10"/>
    </row>
    <row r="2" spans="1:12" s="7" customFormat="1" x14ac:dyDescent="0.25">
      <c r="A2" s="10"/>
      <c r="B2" s="10" t="s">
        <v>89</v>
      </c>
      <c r="C2" s="7" t="s">
        <v>102</v>
      </c>
      <c r="D2" s="12" t="s">
        <v>117</v>
      </c>
      <c r="E2" s="7" t="s">
        <v>120</v>
      </c>
      <c r="F2" s="7" t="s">
        <v>121</v>
      </c>
      <c r="G2" t="s">
        <v>30</v>
      </c>
      <c r="H2" s="7" t="s">
        <v>122</v>
      </c>
      <c r="I2" s="10" t="s">
        <v>103</v>
      </c>
      <c r="J2" s="7" t="s">
        <v>105</v>
      </c>
      <c r="L2" s="7" t="s">
        <v>134</v>
      </c>
    </row>
    <row r="3" spans="1:12" x14ac:dyDescent="0.25">
      <c r="A3" s="6" t="s">
        <v>3</v>
      </c>
      <c r="B3" s="1">
        <v>1027.2582745244961</v>
      </c>
      <c r="C3" s="1">
        <f t="shared" ref="C3:C42" si="0">B3*1.17</f>
        <v>1201.8921811936602</v>
      </c>
      <c r="D3" s="1">
        <v>0.34252728004745059</v>
      </c>
      <c r="E3" s="3">
        <f>D3*C3*$C$57</f>
        <v>411.68085973456209</v>
      </c>
      <c r="F3" s="3">
        <f>(1-D3)*C3*$C$48</f>
        <v>484.99742481087503</v>
      </c>
      <c r="G3" s="1">
        <v>0.23199999999999998</v>
      </c>
      <c r="H3" s="3">
        <f>(($G$10/G3)*$C$49)*((1-D3)*C3)</f>
        <v>180.72065160536027</v>
      </c>
      <c r="I3" s="1">
        <f>E3+F3+H3</f>
        <v>1077.3989361507975</v>
      </c>
      <c r="J3" s="1">
        <f t="shared" ref="J3:J42" si="1">C3-I3</f>
        <v>124.49324504286278</v>
      </c>
      <c r="L3" s="3">
        <f>F3+H3</f>
        <v>665.71807641623536</v>
      </c>
    </row>
    <row r="4" spans="1:12" x14ac:dyDescent="0.25">
      <c r="A4" s="6" t="s">
        <v>9</v>
      </c>
      <c r="B4" s="1">
        <v>101.73193376337656</v>
      </c>
      <c r="C4" s="1">
        <f t="shared" si="0"/>
        <v>119.02636250315057</v>
      </c>
      <c r="D4" s="1">
        <v>0.48255540004306269</v>
      </c>
      <c r="E4" s="3">
        <f t="shared" ref="E4:E42" si="2">D4*C4*$C$57</f>
        <v>57.43681397337842</v>
      </c>
      <c r="F4" s="3">
        <f t="shared" ref="F4:F42" si="3">(1-D4)*C4*$C$48</f>
        <v>37.800992748431575</v>
      </c>
      <c r="G4" s="1">
        <v>0.15000000000000002</v>
      </c>
      <c r="H4" s="3">
        <f t="shared" ref="H4:H41" si="4">(($G$10/G4)*$C$49)*((1-D4)*C4)</f>
        <v>21.785537659843211</v>
      </c>
      <c r="I4" s="1">
        <f t="shared" ref="I4:I42" si="5">E4+F4+H4</f>
        <v>117.0233443816532</v>
      </c>
      <c r="J4" s="1">
        <f t="shared" si="1"/>
        <v>2.0030181214973624</v>
      </c>
      <c r="L4" s="3">
        <f t="shared" ref="L4:L42" si="6">F4+H4</f>
        <v>59.586530408274783</v>
      </c>
    </row>
    <row r="5" spans="1:12" x14ac:dyDescent="0.25">
      <c r="A5" s="6" t="s">
        <v>8</v>
      </c>
      <c r="B5" s="1">
        <v>896.52035489347986</v>
      </c>
      <c r="C5" s="1">
        <f t="shared" si="0"/>
        <v>1048.9288152253714</v>
      </c>
      <c r="D5" s="1">
        <v>0.27851795043911726</v>
      </c>
      <c r="E5" s="3">
        <f t="shared" si="2"/>
        <v>292.14550377310195</v>
      </c>
      <c r="F5" s="3">
        <f t="shared" si="3"/>
        <v>464.48076258446156</v>
      </c>
      <c r="G5" s="1">
        <v>0.24199999999999999</v>
      </c>
      <c r="H5" s="3">
        <f t="shared" si="4"/>
        <v>165.92380618399051</v>
      </c>
      <c r="I5" s="1">
        <f t="shared" si="5"/>
        <v>922.55007254155407</v>
      </c>
      <c r="J5" s="1">
        <f t="shared" si="1"/>
        <v>126.37874268381734</v>
      </c>
      <c r="L5" s="3">
        <f t="shared" si="6"/>
        <v>630.40456876845201</v>
      </c>
    </row>
    <row r="6" spans="1:12" x14ac:dyDescent="0.25">
      <c r="A6" s="6" t="s">
        <v>24</v>
      </c>
      <c r="B6" s="1">
        <v>312.30063281648097</v>
      </c>
      <c r="C6" s="1">
        <f t="shared" si="0"/>
        <v>365.39174039528274</v>
      </c>
      <c r="D6" s="1">
        <v>0.43292489555487218</v>
      </c>
      <c r="E6" s="3">
        <f t="shared" si="2"/>
        <v>158.18718104724076</v>
      </c>
      <c r="F6" s="3">
        <f t="shared" si="3"/>
        <v>127.17316870038556</v>
      </c>
      <c r="G6" s="1">
        <v>0.79400000000000004</v>
      </c>
      <c r="H6" s="3">
        <f t="shared" si="4"/>
        <v>13.846223136101218</v>
      </c>
      <c r="I6" s="1">
        <f t="shared" si="5"/>
        <v>299.20657288372752</v>
      </c>
      <c r="J6" s="1">
        <f t="shared" si="1"/>
        <v>66.185167511555221</v>
      </c>
      <c r="L6" s="3">
        <f t="shared" si="6"/>
        <v>141.01939183648679</v>
      </c>
    </row>
    <row r="7" spans="1:12" x14ac:dyDescent="0.25">
      <c r="A7" s="6" t="s">
        <v>16</v>
      </c>
      <c r="B7" s="1">
        <v>349.18846205512301</v>
      </c>
      <c r="C7" s="1">
        <f t="shared" si="0"/>
        <v>408.55050060449389</v>
      </c>
      <c r="D7" s="1">
        <v>0.72210128358198122</v>
      </c>
      <c r="E7" s="3">
        <f t="shared" si="2"/>
        <v>295.01484089456602</v>
      </c>
      <c r="F7" s="3">
        <f t="shared" si="3"/>
        <v>69.683262044188524</v>
      </c>
      <c r="G7" s="1">
        <v>0.32</v>
      </c>
      <c r="H7" s="3">
        <f t="shared" si="4"/>
        <v>18.824993313015153</v>
      </c>
      <c r="I7" s="1">
        <f t="shared" si="5"/>
        <v>383.52309625176974</v>
      </c>
      <c r="J7" s="1">
        <f t="shared" si="1"/>
        <v>25.027404352724147</v>
      </c>
      <c r="L7" s="3">
        <f t="shared" si="6"/>
        <v>88.50825535720368</v>
      </c>
    </row>
    <row r="8" spans="1:12" x14ac:dyDescent="0.25">
      <c r="A8" s="6" t="s">
        <v>10</v>
      </c>
      <c r="B8" s="1">
        <v>948.05917308543258</v>
      </c>
      <c r="C8" s="1">
        <f t="shared" si="0"/>
        <v>1109.2292325099561</v>
      </c>
      <c r="D8" s="1">
        <v>0.35663926549175751</v>
      </c>
      <c r="E8" s="3">
        <f t="shared" si="2"/>
        <v>395.59469874433665</v>
      </c>
      <c r="F8" s="3">
        <f t="shared" si="3"/>
        <v>437.99791490376646</v>
      </c>
      <c r="G8" s="1">
        <v>0.71599999999999997</v>
      </c>
      <c r="H8" s="3">
        <f>(($G$10/G8)*$C$49)*((1-D8)*C8)</f>
        <v>52.88291141705561</v>
      </c>
      <c r="I8" s="1">
        <f t="shared" si="5"/>
        <v>886.47552506515876</v>
      </c>
      <c r="J8" s="1">
        <f t="shared" si="1"/>
        <v>222.75370744479733</v>
      </c>
      <c r="L8" s="3">
        <f t="shared" si="6"/>
        <v>490.88082632082205</v>
      </c>
    </row>
    <row r="9" spans="1:12" x14ac:dyDescent="0.25">
      <c r="A9" s="6" t="s">
        <v>20</v>
      </c>
      <c r="B9" s="1">
        <v>180.39575608119918</v>
      </c>
      <c r="C9" s="1">
        <f t="shared" si="0"/>
        <v>211.06303461500303</v>
      </c>
      <c r="D9" s="1">
        <v>0.38606572572342651</v>
      </c>
      <c r="E9" s="3">
        <f t="shared" si="2"/>
        <v>81.484203632029832</v>
      </c>
      <c r="F9" s="3">
        <f t="shared" si="3"/>
        <v>79.5298645186502</v>
      </c>
      <c r="G9" s="1">
        <v>0.64600000000000002</v>
      </c>
      <c r="H9" s="3">
        <f t="shared" si="4"/>
        <v>10.642754902757343</v>
      </c>
      <c r="I9" s="1">
        <f t="shared" si="5"/>
        <v>171.65682305343736</v>
      </c>
      <c r="J9" s="1">
        <f t="shared" si="1"/>
        <v>39.406211561565669</v>
      </c>
      <c r="L9" s="3">
        <f t="shared" si="6"/>
        <v>90.172619421407546</v>
      </c>
    </row>
    <row r="10" spans="1:12" x14ac:dyDescent="0.25">
      <c r="A10" s="6" t="s">
        <v>0</v>
      </c>
      <c r="B10" s="1">
        <v>117.86121249051902</v>
      </c>
      <c r="C10" s="1">
        <f t="shared" si="0"/>
        <v>137.89761861390724</v>
      </c>
      <c r="D10" s="1">
        <v>0.12222340712075706</v>
      </c>
      <c r="E10" s="3">
        <f t="shared" si="2"/>
        <v>16.854316780830473</v>
      </c>
      <c r="F10" s="3">
        <f t="shared" si="3"/>
        <v>74.291127050988905</v>
      </c>
      <c r="G10" s="1">
        <v>0.21800000000000003</v>
      </c>
      <c r="H10" s="3">
        <f t="shared" si="4"/>
        <v>29.460274520219741</v>
      </c>
      <c r="I10" s="1">
        <f t="shared" si="5"/>
        <v>120.60571835203912</v>
      </c>
      <c r="J10" s="1">
        <f t="shared" si="1"/>
        <v>17.291900261868122</v>
      </c>
      <c r="L10" s="3">
        <f t="shared" si="6"/>
        <v>103.75140157120865</v>
      </c>
    </row>
    <row r="11" spans="1:12" x14ac:dyDescent="0.25">
      <c r="A11" s="6" t="s">
        <v>22</v>
      </c>
      <c r="B11" s="1">
        <v>12.478296395386796</v>
      </c>
      <c r="C11" s="1">
        <f t="shared" si="0"/>
        <v>14.59960678260255</v>
      </c>
      <c r="D11" s="1">
        <v>0.15015144467056893</v>
      </c>
      <c r="E11" s="3">
        <f t="shared" si="2"/>
        <v>2.1921520500300096</v>
      </c>
      <c r="F11" s="3">
        <f t="shared" si="3"/>
        <v>7.6151574020021933</v>
      </c>
      <c r="G11" s="1">
        <v>0.57400000000000007</v>
      </c>
      <c r="H11" s="3">
        <f t="shared" si="4"/>
        <v>1.1468941251243241</v>
      </c>
      <c r="I11" s="1">
        <f t="shared" si="5"/>
        <v>10.954203577156528</v>
      </c>
      <c r="J11" s="1">
        <f t="shared" si="1"/>
        <v>3.645403205446021</v>
      </c>
      <c r="L11" s="3">
        <f t="shared" si="6"/>
        <v>8.762051527126518</v>
      </c>
    </row>
    <row r="12" spans="1:12" x14ac:dyDescent="0.25">
      <c r="A12" s="6" t="s">
        <v>19</v>
      </c>
      <c r="B12" s="1">
        <v>18.768575260572867</v>
      </c>
      <c r="C12" s="1">
        <f t="shared" si="0"/>
        <v>21.959233054870253</v>
      </c>
      <c r="D12" s="1">
        <v>0.49284286763689739</v>
      </c>
      <c r="E12" s="3">
        <f t="shared" si="2"/>
        <v>10.822451389869203</v>
      </c>
      <c r="F12" s="3">
        <f t="shared" si="3"/>
        <v>6.8352734028577871</v>
      </c>
      <c r="G12" s="1">
        <v>0.23199999999999998</v>
      </c>
      <c r="H12" s="3">
        <f t="shared" si="4"/>
        <v>2.5469724169091075</v>
      </c>
      <c r="I12" s="1">
        <f t="shared" si="5"/>
        <v>20.204697209636095</v>
      </c>
      <c r="J12" s="1">
        <f t="shared" si="1"/>
        <v>1.7545358452341588</v>
      </c>
      <c r="L12" s="3">
        <f t="shared" si="6"/>
        <v>9.3822458197668936</v>
      </c>
    </row>
    <row r="13" spans="1:12" x14ac:dyDescent="0.25">
      <c r="A13" s="6" t="s">
        <v>7</v>
      </c>
      <c r="B13" s="1">
        <v>0.34801842480054851</v>
      </c>
      <c r="C13" s="1">
        <f t="shared" si="0"/>
        <v>0.40718155701664172</v>
      </c>
      <c r="D13" s="1">
        <v>0.46681634560861057</v>
      </c>
      <c r="E13" s="3">
        <f t="shared" si="2"/>
        <v>0.19007900644573278</v>
      </c>
      <c r="F13" s="3">
        <f t="shared" si="3"/>
        <v>0.13324812627632504</v>
      </c>
      <c r="G13" s="1">
        <v>0.57400000000000007</v>
      </c>
      <c r="H13" s="3">
        <f t="shared" si="4"/>
        <v>2.0068067558257054E-2</v>
      </c>
      <c r="I13" s="1">
        <f t="shared" si="5"/>
        <v>0.34339520028031489</v>
      </c>
      <c r="J13" s="1">
        <f t="shared" si="1"/>
        <v>6.3786356736326821E-2</v>
      </c>
      <c r="L13" s="3">
        <f t="shared" si="6"/>
        <v>0.15331619383458209</v>
      </c>
    </row>
    <row r="14" spans="1:12" x14ac:dyDescent="0.25">
      <c r="A14" s="6" t="s">
        <v>5</v>
      </c>
      <c r="B14" s="1">
        <v>64.637140141601819</v>
      </c>
      <c r="C14" s="1">
        <f t="shared" si="0"/>
        <v>75.625453965674126</v>
      </c>
      <c r="D14" s="1">
        <v>1</v>
      </c>
      <c r="E14" s="3">
        <f t="shared" si="2"/>
        <v>75.625453965674126</v>
      </c>
      <c r="F14" s="3">
        <f t="shared" si="3"/>
        <v>0</v>
      </c>
      <c r="G14" s="1">
        <v>0.65200000000000002</v>
      </c>
      <c r="H14" s="3">
        <f t="shared" si="4"/>
        <v>0</v>
      </c>
      <c r="I14" s="1">
        <f t="shared" si="5"/>
        <v>75.625453965674126</v>
      </c>
      <c r="J14" s="1">
        <f t="shared" si="1"/>
        <v>0</v>
      </c>
      <c r="L14" s="3">
        <f t="shared" si="6"/>
        <v>0</v>
      </c>
    </row>
    <row r="15" spans="1:12" x14ac:dyDescent="0.25">
      <c r="A15" s="6" t="s">
        <v>2</v>
      </c>
      <c r="B15" s="1">
        <v>15.323677305754607</v>
      </c>
      <c r="C15" s="1">
        <f t="shared" si="0"/>
        <v>17.928702447732888</v>
      </c>
      <c r="D15" s="1">
        <v>0.14946594238049735</v>
      </c>
      <c r="E15" s="3">
        <f t="shared" si="2"/>
        <v>2.6797304070099255</v>
      </c>
      <c r="F15" s="3">
        <f t="shared" si="3"/>
        <v>9.3591574429834061</v>
      </c>
      <c r="G15" s="1">
        <v>0.6140000000000001</v>
      </c>
      <c r="H15" s="3">
        <f t="shared" si="4"/>
        <v>1.3177247955497806</v>
      </c>
      <c r="I15" s="1">
        <f t="shared" si="5"/>
        <v>13.356612645543112</v>
      </c>
      <c r="J15" s="1">
        <f t="shared" si="1"/>
        <v>4.572089802189776</v>
      </c>
      <c r="L15" s="3">
        <f t="shared" si="6"/>
        <v>10.676882238533187</v>
      </c>
    </row>
    <row r="16" spans="1:12" x14ac:dyDescent="0.25">
      <c r="A16" s="6" t="s">
        <v>6</v>
      </c>
      <c r="B16" s="1">
        <v>46.039825725652499</v>
      </c>
      <c r="C16" s="1">
        <f t="shared" si="0"/>
        <v>53.866596099013421</v>
      </c>
      <c r="D16" s="1">
        <v>1</v>
      </c>
      <c r="E16" s="3">
        <f t="shared" si="2"/>
        <v>53.866596099013421</v>
      </c>
      <c r="F16" s="3">
        <f t="shared" si="3"/>
        <v>0</v>
      </c>
      <c r="G16" s="1">
        <v>0.65200000000000002</v>
      </c>
      <c r="H16" s="3">
        <f t="shared" si="4"/>
        <v>0</v>
      </c>
      <c r="I16" s="1">
        <f t="shared" si="5"/>
        <v>53.866596099013421</v>
      </c>
      <c r="J16" s="1">
        <f t="shared" si="1"/>
        <v>0</v>
      </c>
      <c r="L16" s="3">
        <f t="shared" si="6"/>
        <v>0</v>
      </c>
    </row>
    <row r="17" spans="1:12" x14ac:dyDescent="0.25">
      <c r="A17" s="6" t="s">
        <v>14</v>
      </c>
      <c r="B17" s="1">
        <v>8.822316418717369</v>
      </c>
      <c r="C17" s="1">
        <f t="shared" si="0"/>
        <v>10.322110209899321</v>
      </c>
      <c r="D17" s="1">
        <v>1</v>
      </c>
      <c r="E17" s="3">
        <f t="shared" si="2"/>
        <v>10.322110209899321</v>
      </c>
      <c r="F17" s="3">
        <f t="shared" si="3"/>
        <v>0</v>
      </c>
      <c r="G17" s="1">
        <v>0.80600000000000005</v>
      </c>
      <c r="H17" s="3">
        <f t="shared" si="4"/>
        <v>0</v>
      </c>
      <c r="I17" s="1">
        <f t="shared" si="5"/>
        <v>10.322110209899321</v>
      </c>
      <c r="J17" s="1">
        <f t="shared" si="1"/>
        <v>0</v>
      </c>
      <c r="L17" s="3">
        <f t="shared" si="6"/>
        <v>0</v>
      </c>
    </row>
    <row r="18" spans="1:12" x14ac:dyDescent="0.25">
      <c r="A18" s="6" t="s">
        <v>15</v>
      </c>
      <c r="B18" s="1">
        <v>51.363822194173004</v>
      </c>
      <c r="C18" s="1">
        <f t="shared" si="0"/>
        <v>60.095671967182412</v>
      </c>
      <c r="D18" s="1">
        <v>1</v>
      </c>
      <c r="E18" s="3">
        <f t="shared" si="2"/>
        <v>60.095671967182412</v>
      </c>
      <c r="F18" s="3">
        <f t="shared" si="3"/>
        <v>0</v>
      </c>
      <c r="G18" s="1">
        <v>0.6</v>
      </c>
      <c r="H18" s="3">
        <f t="shared" si="4"/>
        <v>0</v>
      </c>
      <c r="I18" s="1">
        <f t="shared" si="5"/>
        <v>60.095671967182412</v>
      </c>
      <c r="J18" s="1">
        <f t="shared" si="1"/>
        <v>0</v>
      </c>
      <c r="L18" s="3">
        <f t="shared" si="6"/>
        <v>0</v>
      </c>
    </row>
    <row r="19" spans="1:12" x14ac:dyDescent="0.25">
      <c r="A19" s="6" t="s">
        <v>18</v>
      </c>
      <c r="B19" s="1">
        <v>46.252970981008588</v>
      </c>
      <c r="C19" s="1">
        <f t="shared" si="0"/>
        <v>54.115976047780045</v>
      </c>
      <c r="D19" s="1">
        <v>1</v>
      </c>
      <c r="E19" s="3">
        <f t="shared" si="2"/>
        <v>54.115976047780045</v>
      </c>
      <c r="F19" s="3">
        <f t="shared" si="3"/>
        <v>0</v>
      </c>
      <c r="G19" s="1">
        <v>0.57400000000000007</v>
      </c>
      <c r="H19" s="3">
        <f t="shared" si="4"/>
        <v>0</v>
      </c>
      <c r="I19" s="1">
        <f t="shared" si="5"/>
        <v>54.115976047780045</v>
      </c>
      <c r="J19" s="1">
        <f t="shared" si="1"/>
        <v>0</v>
      </c>
      <c r="L19" s="3">
        <f t="shared" si="6"/>
        <v>0</v>
      </c>
    </row>
    <row r="20" spans="1:12" x14ac:dyDescent="0.25">
      <c r="A20" s="6" t="s">
        <v>13</v>
      </c>
      <c r="B20" s="1">
        <v>0.37931825206753988</v>
      </c>
      <c r="C20" s="1">
        <f t="shared" si="0"/>
        <v>0.44380235491902165</v>
      </c>
      <c r="D20" s="1">
        <v>0.6935420563167799</v>
      </c>
      <c r="E20" s="3">
        <f t="shared" si="2"/>
        <v>0.30779559782876764</v>
      </c>
      <c r="F20" s="3">
        <f t="shared" si="3"/>
        <v>8.3475046679732615E-2</v>
      </c>
      <c r="G20" s="1">
        <v>0.54</v>
      </c>
      <c r="H20" s="3">
        <f t="shared" si="4"/>
        <v>1.3363470116608538E-2</v>
      </c>
      <c r="I20" s="1">
        <f t="shared" si="5"/>
        <v>0.40463411462510879</v>
      </c>
      <c r="J20" s="1">
        <f t="shared" si="1"/>
        <v>3.9168240293912859E-2</v>
      </c>
      <c r="L20" s="3">
        <f t="shared" si="6"/>
        <v>9.6838516796341145E-2</v>
      </c>
    </row>
    <row r="21" spans="1:12" x14ac:dyDescent="0.25">
      <c r="A21" s="6" t="s">
        <v>23</v>
      </c>
      <c r="B21" s="1">
        <v>4.6142465719564658</v>
      </c>
      <c r="C21" s="1">
        <f t="shared" si="0"/>
        <v>5.3986684891890651</v>
      </c>
      <c r="D21" s="1">
        <v>1</v>
      </c>
      <c r="E21" s="3">
        <f t="shared" si="2"/>
        <v>5.3986684891890651</v>
      </c>
      <c r="F21" s="3">
        <f t="shared" si="3"/>
        <v>0</v>
      </c>
      <c r="G21" s="1">
        <v>0.53599999999999992</v>
      </c>
      <c r="H21" s="3">
        <f t="shared" si="4"/>
        <v>0</v>
      </c>
      <c r="I21" s="1">
        <f t="shared" si="5"/>
        <v>5.3986684891890651</v>
      </c>
      <c r="J21" s="1">
        <f t="shared" si="1"/>
        <v>0</v>
      </c>
      <c r="L21" s="3">
        <f t="shared" si="6"/>
        <v>0</v>
      </c>
    </row>
    <row r="22" spans="1:12" x14ac:dyDescent="0.25">
      <c r="A22" s="6" t="s">
        <v>1</v>
      </c>
      <c r="B22" s="1">
        <v>0.46571979301763589</v>
      </c>
      <c r="C22" s="1">
        <f t="shared" si="0"/>
        <v>0.54489215783063394</v>
      </c>
      <c r="D22" s="1">
        <v>0</v>
      </c>
      <c r="E22" s="3">
        <f t="shared" si="2"/>
        <v>0</v>
      </c>
      <c r="F22" s="3">
        <f t="shared" si="3"/>
        <v>0.33443116565266418</v>
      </c>
      <c r="G22" s="1">
        <v>0.31399999999999995</v>
      </c>
      <c r="H22" s="3">
        <f t="shared" si="4"/>
        <v>9.2073240972021672E-2</v>
      </c>
      <c r="I22" s="1">
        <f t="shared" si="5"/>
        <v>0.42650440662468586</v>
      </c>
      <c r="J22" s="1">
        <f t="shared" si="1"/>
        <v>0.11838775120594808</v>
      </c>
      <c r="L22" s="3">
        <f t="shared" si="6"/>
        <v>0.42650440662468586</v>
      </c>
    </row>
    <row r="23" spans="1:12" x14ac:dyDescent="0.25">
      <c r="A23" s="6" t="s">
        <v>12</v>
      </c>
      <c r="B23" s="1">
        <v>25.950699191034754</v>
      </c>
      <c r="C23" s="1">
        <f t="shared" si="0"/>
        <v>30.362318053510659</v>
      </c>
      <c r="D23" s="1">
        <v>0.56766109963679234</v>
      </c>
      <c r="E23" s="3">
        <f t="shared" si="2"/>
        <v>17.235506853777892</v>
      </c>
      <c r="F23" s="3">
        <f t="shared" si="3"/>
        <v>8.0566671913703747</v>
      </c>
      <c r="G23" s="1">
        <v>0.65200000000000002</v>
      </c>
      <c r="H23" s="3">
        <f t="shared" si="4"/>
        <v>1.0682285090313903</v>
      </c>
      <c r="I23" s="1">
        <f t="shared" si="5"/>
        <v>26.360402554179654</v>
      </c>
      <c r="J23" s="1">
        <f t="shared" si="1"/>
        <v>4.0019154993310053</v>
      </c>
      <c r="L23" s="3">
        <f t="shared" si="6"/>
        <v>9.1248957004017655</v>
      </c>
    </row>
    <row r="24" spans="1:12" x14ac:dyDescent="0.25">
      <c r="A24" s="6" t="s">
        <v>4</v>
      </c>
      <c r="B24" s="1">
        <v>2.4906923553440459</v>
      </c>
      <c r="C24" s="1">
        <f t="shared" si="0"/>
        <v>2.9141100557525337</v>
      </c>
      <c r="D24" s="1">
        <v>1</v>
      </c>
      <c r="E24" s="3">
        <f t="shared" si="2"/>
        <v>2.9141100557525337</v>
      </c>
      <c r="F24" s="3">
        <f t="shared" si="3"/>
        <v>0</v>
      </c>
      <c r="G24" s="1">
        <v>0.60599999999999998</v>
      </c>
      <c r="H24" s="3">
        <f t="shared" si="4"/>
        <v>0</v>
      </c>
      <c r="I24" s="1">
        <f t="shared" si="5"/>
        <v>2.9141100557525337</v>
      </c>
      <c r="J24" s="1">
        <f t="shared" si="1"/>
        <v>0</v>
      </c>
      <c r="L24" s="3">
        <f t="shared" si="6"/>
        <v>0</v>
      </c>
    </row>
    <row r="25" spans="1:12" x14ac:dyDescent="0.25">
      <c r="A25" s="6" t="s">
        <v>11</v>
      </c>
      <c r="B25" s="1">
        <v>14.99489357589214</v>
      </c>
      <c r="C25" s="1">
        <f t="shared" si="0"/>
        <v>17.544025483793803</v>
      </c>
      <c r="D25" s="1">
        <v>1</v>
      </c>
      <c r="E25" s="3">
        <f t="shared" si="2"/>
        <v>17.544025483793803</v>
      </c>
      <c r="F25" s="3">
        <f t="shared" si="3"/>
        <v>0</v>
      </c>
      <c r="G25" s="1">
        <v>0.83599999999999997</v>
      </c>
      <c r="H25" s="3">
        <f t="shared" si="4"/>
        <v>0</v>
      </c>
      <c r="I25" s="1">
        <f t="shared" si="5"/>
        <v>17.544025483793803</v>
      </c>
      <c r="J25" s="1">
        <f t="shared" si="1"/>
        <v>0</v>
      </c>
      <c r="L25" s="3">
        <f t="shared" si="6"/>
        <v>0</v>
      </c>
    </row>
    <row r="26" spans="1:12" x14ac:dyDescent="0.25">
      <c r="A26" s="6" t="s">
        <v>17</v>
      </c>
      <c r="B26" s="1">
        <v>9.1443094325424106</v>
      </c>
      <c r="C26" s="1">
        <f t="shared" si="0"/>
        <v>10.69884203607462</v>
      </c>
      <c r="D26" s="1">
        <v>1</v>
      </c>
      <c r="E26" s="3">
        <f t="shared" si="2"/>
        <v>10.69884203607462</v>
      </c>
      <c r="F26" s="3">
        <f t="shared" si="3"/>
        <v>0</v>
      </c>
      <c r="G26" s="1">
        <v>0.52600000000000002</v>
      </c>
      <c r="H26" s="3">
        <f t="shared" si="4"/>
        <v>0</v>
      </c>
      <c r="I26" s="1">
        <f t="shared" si="5"/>
        <v>10.69884203607462</v>
      </c>
      <c r="J26" s="1">
        <f t="shared" si="1"/>
        <v>0</v>
      </c>
      <c r="L26" s="3">
        <f t="shared" si="6"/>
        <v>0</v>
      </c>
    </row>
    <row r="27" spans="1:12" x14ac:dyDescent="0.25">
      <c r="A27" s="6" t="s">
        <v>21</v>
      </c>
      <c r="B27" s="1">
        <v>7.1491236185372085</v>
      </c>
      <c r="C27" s="1">
        <f t="shared" si="0"/>
        <v>8.3644746336885341</v>
      </c>
      <c r="D27" s="1">
        <v>1</v>
      </c>
      <c r="E27" s="3">
        <f t="shared" si="2"/>
        <v>8.3644746336885341</v>
      </c>
      <c r="F27" s="3">
        <f t="shared" si="3"/>
        <v>0</v>
      </c>
      <c r="G27" s="1">
        <v>0.60599999999999998</v>
      </c>
      <c r="H27" s="3">
        <f t="shared" si="4"/>
        <v>0</v>
      </c>
      <c r="I27" s="1">
        <f t="shared" si="5"/>
        <v>8.3644746336885341</v>
      </c>
      <c r="J27" s="1">
        <f t="shared" si="1"/>
        <v>0</v>
      </c>
      <c r="L27" s="3">
        <f t="shared" si="6"/>
        <v>0</v>
      </c>
    </row>
    <row r="28" spans="1:12" x14ac:dyDescent="0.25">
      <c r="A28" s="3" t="s">
        <v>80</v>
      </c>
      <c r="B28" s="1">
        <v>4.6379634105966332</v>
      </c>
      <c r="C28" s="1">
        <f t="shared" si="0"/>
        <v>5.4264171903980607</v>
      </c>
      <c r="D28" s="1">
        <v>1</v>
      </c>
      <c r="E28" s="3">
        <f t="shared" si="2"/>
        <v>5.4264171903980607</v>
      </c>
      <c r="F28" s="3">
        <f t="shared" si="3"/>
        <v>0</v>
      </c>
      <c r="G28" s="1">
        <v>0.89</v>
      </c>
      <c r="H28" s="3">
        <f t="shared" si="4"/>
        <v>0</v>
      </c>
      <c r="I28" s="1">
        <f t="shared" si="5"/>
        <v>5.4264171903980607</v>
      </c>
      <c r="J28" s="1">
        <f t="shared" si="1"/>
        <v>0</v>
      </c>
      <c r="L28" s="3">
        <f t="shared" si="6"/>
        <v>0</v>
      </c>
    </row>
    <row r="29" spans="1:12" x14ac:dyDescent="0.25">
      <c r="A29" s="3" t="s">
        <v>81</v>
      </c>
      <c r="B29" s="1">
        <v>0.35580567823013254</v>
      </c>
      <c r="C29" s="1">
        <f t="shared" si="0"/>
        <v>0.41629264352925505</v>
      </c>
      <c r="D29" s="1">
        <v>0.58076128116243508</v>
      </c>
      <c r="E29" s="3">
        <f t="shared" si="2"/>
        <v>0.24176664899454706</v>
      </c>
      <c r="F29" s="3">
        <f t="shared" si="3"/>
        <v>0.10711648341812766</v>
      </c>
      <c r="G29" s="1">
        <v>0.89</v>
      </c>
      <c r="H29" s="3">
        <f t="shared" si="4"/>
        <v>1.0404534053825885E-2</v>
      </c>
      <c r="I29" s="1">
        <f t="shared" si="5"/>
        <v>0.35928766646650062</v>
      </c>
      <c r="J29" s="1">
        <f t="shared" si="1"/>
        <v>5.7004977062754425E-2</v>
      </c>
      <c r="L29" s="3">
        <f t="shared" si="6"/>
        <v>0.11752101747195354</v>
      </c>
    </row>
    <row r="30" spans="1:12" x14ac:dyDescent="0.25">
      <c r="A30" s="3" t="s">
        <v>29</v>
      </c>
      <c r="B30" s="1">
        <v>3.738627359591788</v>
      </c>
      <c r="C30" s="1">
        <f t="shared" si="0"/>
        <v>4.374194010722392</v>
      </c>
      <c r="D30" s="1">
        <v>1</v>
      </c>
      <c r="E30" s="3">
        <f t="shared" si="2"/>
        <v>4.374194010722392</v>
      </c>
      <c r="F30" s="3">
        <f t="shared" si="3"/>
        <v>0</v>
      </c>
      <c r="G30" s="1">
        <v>0.86</v>
      </c>
      <c r="H30" s="3">
        <f t="shared" si="4"/>
        <v>0</v>
      </c>
      <c r="I30" s="1">
        <f t="shared" si="5"/>
        <v>4.374194010722392</v>
      </c>
      <c r="J30" s="1">
        <f t="shared" si="1"/>
        <v>0</v>
      </c>
      <c r="L30" s="3">
        <f t="shared" si="6"/>
        <v>0</v>
      </c>
    </row>
    <row r="31" spans="1:12" x14ac:dyDescent="0.25">
      <c r="A31" s="3" t="s">
        <v>85</v>
      </c>
      <c r="B31" s="1">
        <v>2.0963058220436368</v>
      </c>
      <c r="C31" s="1">
        <f t="shared" si="0"/>
        <v>2.4526778117910548</v>
      </c>
      <c r="D31" s="1">
        <v>0.21604113829742258</v>
      </c>
      <c r="E31" s="3">
        <f t="shared" si="2"/>
        <v>0.52987930633617109</v>
      </c>
      <c r="F31" s="3">
        <f t="shared" si="3"/>
        <v>1.1801302996442673</v>
      </c>
      <c r="G31" s="1">
        <v>0.89</v>
      </c>
      <c r="H31" s="3">
        <f t="shared" si="4"/>
        <v>0.11462947156947612</v>
      </c>
      <c r="I31" s="1">
        <f t="shared" si="5"/>
        <v>1.8246390775499144</v>
      </c>
      <c r="J31" s="1">
        <f t="shared" si="1"/>
        <v>0.62803873424114043</v>
      </c>
      <c r="L31" s="3">
        <f t="shared" si="6"/>
        <v>1.2947597712137435</v>
      </c>
    </row>
    <row r="32" spans="1:12" x14ac:dyDescent="0.25">
      <c r="A32" s="3" t="s">
        <v>28</v>
      </c>
      <c r="B32" s="1">
        <v>5.1508085603060545</v>
      </c>
      <c r="C32" s="1">
        <f t="shared" si="0"/>
        <v>6.0264460155580837</v>
      </c>
      <c r="D32" s="1">
        <v>1</v>
      </c>
      <c r="E32" s="3">
        <f t="shared" si="2"/>
        <v>6.0264460155580837</v>
      </c>
      <c r="F32" s="3">
        <f t="shared" si="3"/>
        <v>0</v>
      </c>
      <c r="G32" s="1">
        <v>0.89</v>
      </c>
      <c r="H32" s="3">
        <f t="shared" si="4"/>
        <v>0</v>
      </c>
      <c r="I32" s="1">
        <f t="shared" si="5"/>
        <v>6.0264460155580837</v>
      </c>
      <c r="J32" s="1">
        <f t="shared" si="1"/>
        <v>0</v>
      </c>
      <c r="L32" s="3">
        <f t="shared" si="6"/>
        <v>0</v>
      </c>
    </row>
    <row r="33" spans="1:13" x14ac:dyDescent="0.25">
      <c r="A33" s="3" t="s">
        <v>82</v>
      </c>
      <c r="B33" s="1">
        <v>0.22514523189248639</v>
      </c>
      <c r="C33" s="1">
        <f t="shared" si="0"/>
        <v>0.26341992131420905</v>
      </c>
      <c r="D33" s="1">
        <v>1</v>
      </c>
      <c r="E33" s="3">
        <f t="shared" si="2"/>
        <v>0.26341992131420905</v>
      </c>
      <c r="F33" s="3">
        <f t="shared" si="3"/>
        <v>0</v>
      </c>
      <c r="G33" s="1">
        <v>0.89</v>
      </c>
      <c r="H33" s="3">
        <f t="shared" si="4"/>
        <v>0</v>
      </c>
      <c r="I33" s="1">
        <f t="shared" si="5"/>
        <v>0.26341992131420905</v>
      </c>
      <c r="J33" s="1">
        <f t="shared" si="1"/>
        <v>0</v>
      </c>
      <c r="L33" s="3">
        <f t="shared" si="6"/>
        <v>0</v>
      </c>
    </row>
    <row r="34" spans="1:13" x14ac:dyDescent="0.25">
      <c r="A34" s="6" t="s">
        <v>86</v>
      </c>
      <c r="B34" s="1">
        <v>0.10604040276309949</v>
      </c>
      <c r="C34" s="1">
        <f t="shared" si="0"/>
        <v>0.1240672712328264</v>
      </c>
      <c r="D34" s="1">
        <v>1</v>
      </c>
      <c r="E34" s="3">
        <f t="shared" si="2"/>
        <v>0.1240672712328264</v>
      </c>
      <c r="F34" s="3">
        <f t="shared" si="3"/>
        <v>0</v>
      </c>
      <c r="G34" s="1">
        <v>0.89</v>
      </c>
      <c r="H34" s="3">
        <f t="shared" si="4"/>
        <v>0</v>
      </c>
      <c r="I34" s="1">
        <f t="shared" si="5"/>
        <v>0.1240672712328264</v>
      </c>
      <c r="J34" s="1">
        <f t="shared" si="1"/>
        <v>0</v>
      </c>
      <c r="L34" s="3">
        <f t="shared" si="6"/>
        <v>0</v>
      </c>
    </row>
    <row r="35" spans="1:13" x14ac:dyDescent="0.25">
      <c r="A35" t="s">
        <v>135</v>
      </c>
      <c r="B35" s="1">
        <v>4.1452834291317222</v>
      </c>
      <c r="C35" s="1">
        <f t="shared" si="0"/>
        <v>4.8499816120841146</v>
      </c>
      <c r="D35" s="1">
        <v>1</v>
      </c>
      <c r="E35" s="3">
        <f t="shared" si="2"/>
        <v>4.8499816120841146</v>
      </c>
      <c r="F35" s="3">
        <f t="shared" si="3"/>
        <v>0</v>
      </c>
      <c r="G35" s="1">
        <v>0.89</v>
      </c>
      <c r="H35" s="3">
        <f t="shared" si="4"/>
        <v>0</v>
      </c>
      <c r="I35" s="1">
        <f t="shared" si="5"/>
        <v>4.8499816120841146</v>
      </c>
      <c r="J35" s="1">
        <f t="shared" si="1"/>
        <v>0</v>
      </c>
      <c r="L35" s="3">
        <f t="shared" si="6"/>
        <v>0</v>
      </c>
    </row>
    <row r="36" spans="1:13" x14ac:dyDescent="0.25">
      <c r="A36" s="3" t="s">
        <v>114</v>
      </c>
      <c r="B36" s="1">
        <v>1.4473815102781966</v>
      </c>
      <c r="C36" s="1">
        <f t="shared" si="0"/>
        <v>1.6934363670254899</v>
      </c>
      <c r="D36" s="1">
        <v>0.39848865228973734</v>
      </c>
      <c r="E36" s="3">
        <f t="shared" si="2"/>
        <v>0.67481517563441651</v>
      </c>
      <c r="F36" s="3">
        <f t="shared" si="3"/>
        <v>0.62518549312891292</v>
      </c>
      <c r="G36" s="1">
        <v>0.22</v>
      </c>
      <c r="H36" s="3">
        <f t="shared" si="4"/>
        <v>0.24566458170441771</v>
      </c>
      <c r="I36" s="1">
        <f t="shared" si="5"/>
        <v>1.5456652504677471</v>
      </c>
      <c r="J36" s="1">
        <f t="shared" si="1"/>
        <v>0.14777111655774289</v>
      </c>
      <c r="L36" s="3">
        <f t="shared" si="6"/>
        <v>0.87085007483333066</v>
      </c>
    </row>
    <row r="37" spans="1:13" x14ac:dyDescent="0.25">
      <c r="A37" t="s">
        <v>110</v>
      </c>
      <c r="B37" s="1">
        <v>60.72097251237507</v>
      </c>
      <c r="C37" s="1">
        <f t="shared" si="0"/>
        <v>71.04353783947883</v>
      </c>
      <c r="D37" s="1">
        <v>0.30260641969222113</v>
      </c>
      <c r="E37" s="3">
        <f t="shared" si="2"/>
        <v>21.498230627873525</v>
      </c>
      <c r="F37" s="3">
        <f t="shared" si="3"/>
        <v>30.408759981726007</v>
      </c>
      <c r="G37" s="1">
        <v>0.75</v>
      </c>
      <c r="H37" s="3">
        <f t="shared" si="4"/>
        <v>3.5050464953649243</v>
      </c>
      <c r="I37" s="1">
        <f t="shared" si="5"/>
        <v>55.412037104964455</v>
      </c>
      <c r="J37" s="1">
        <f t="shared" si="1"/>
        <v>15.631500734514375</v>
      </c>
      <c r="L37" s="3">
        <f t="shared" si="6"/>
        <v>33.91380647709093</v>
      </c>
    </row>
    <row r="38" spans="1:13" x14ac:dyDescent="0.25">
      <c r="A38" t="s">
        <v>111</v>
      </c>
      <c r="B38" s="1">
        <v>64.71617669095518</v>
      </c>
      <c r="C38" s="1">
        <f t="shared" si="0"/>
        <v>75.717926728417552</v>
      </c>
      <c r="D38" s="1">
        <v>0.91477589593817854</v>
      </c>
      <c r="E38" s="3">
        <f t="shared" si="2"/>
        <v>69.264934261569522</v>
      </c>
      <c r="F38" s="3">
        <f t="shared" si="3"/>
        <v>3.9605668050495839</v>
      </c>
      <c r="G38" s="1">
        <v>0.26</v>
      </c>
      <c r="H38" s="3">
        <f t="shared" si="4"/>
        <v>1.3168621989733831</v>
      </c>
      <c r="I38" s="1">
        <f t="shared" si="5"/>
        <v>74.542363265592485</v>
      </c>
      <c r="J38" s="1">
        <f t="shared" si="1"/>
        <v>1.1755634628250675</v>
      </c>
      <c r="L38" s="3">
        <f t="shared" si="6"/>
        <v>5.2774290040229666</v>
      </c>
    </row>
    <row r="39" spans="1:13" x14ac:dyDescent="0.25">
      <c r="A39" t="s">
        <v>109</v>
      </c>
      <c r="B39" s="1">
        <v>226.84037607790449</v>
      </c>
      <c r="C39" s="1">
        <f t="shared" si="0"/>
        <v>265.40324001114823</v>
      </c>
      <c r="D39" s="1">
        <v>0.38694189593945677</v>
      </c>
      <c r="E39" s="3">
        <f t="shared" si="2"/>
        <v>102.69563287838838</v>
      </c>
      <c r="F39" s="3">
        <f t="shared" si="3"/>
        <v>99.862869986244121</v>
      </c>
      <c r="G39" s="1">
        <v>0.28999999999999998</v>
      </c>
      <c r="H39" s="3">
        <f t="shared" si="4"/>
        <v>29.768872182581934</v>
      </c>
      <c r="I39" s="1">
        <f t="shared" si="5"/>
        <v>232.32737504721442</v>
      </c>
      <c r="J39" s="1">
        <f t="shared" si="1"/>
        <v>33.07586496393381</v>
      </c>
      <c r="L39" s="3">
        <f t="shared" si="6"/>
        <v>129.63174216882607</v>
      </c>
    </row>
    <row r="40" spans="1:13" x14ac:dyDescent="0.25">
      <c r="A40" t="s">
        <v>112</v>
      </c>
      <c r="B40" s="1">
        <v>12.725525859327753</v>
      </c>
      <c r="C40" s="1">
        <f t="shared" si="0"/>
        <v>14.888865255413471</v>
      </c>
      <c r="D40" s="1">
        <v>1</v>
      </c>
      <c r="E40" s="3">
        <f t="shared" si="2"/>
        <v>14.888865255413471</v>
      </c>
      <c r="F40" s="3">
        <f t="shared" si="3"/>
        <v>0</v>
      </c>
      <c r="G40" s="1">
        <v>0.26</v>
      </c>
      <c r="H40" s="3">
        <f t="shared" si="4"/>
        <v>0</v>
      </c>
      <c r="I40" s="1">
        <f t="shared" si="5"/>
        <v>14.888865255413471</v>
      </c>
      <c r="J40" s="1">
        <f t="shared" si="1"/>
        <v>0</v>
      </c>
      <c r="L40" s="3">
        <f t="shared" si="6"/>
        <v>0</v>
      </c>
    </row>
    <row r="41" spans="1:13" x14ac:dyDescent="0.25">
      <c r="A41" t="s">
        <v>113</v>
      </c>
      <c r="B41" s="1">
        <v>1.8801035577996243</v>
      </c>
      <c r="C41" s="1">
        <f t="shared" si="0"/>
        <v>2.1997211626255604</v>
      </c>
      <c r="D41" s="1">
        <v>1</v>
      </c>
      <c r="E41" s="3">
        <f t="shared" si="2"/>
        <v>2.1997211626255604</v>
      </c>
      <c r="F41" s="3">
        <f t="shared" si="3"/>
        <v>0</v>
      </c>
      <c r="G41" s="1">
        <v>0.9</v>
      </c>
      <c r="H41" s="3">
        <f t="shared" si="4"/>
        <v>0</v>
      </c>
      <c r="I41" s="1">
        <f t="shared" si="5"/>
        <v>2.1997211626255604</v>
      </c>
      <c r="J41" s="1">
        <f t="shared" si="1"/>
        <v>0</v>
      </c>
      <c r="L41" s="3">
        <f t="shared" si="6"/>
        <v>0</v>
      </c>
    </row>
    <row r="42" spans="1:13" s="20" customFormat="1" x14ac:dyDescent="0.25">
      <c r="A42" s="20" t="s">
        <v>115</v>
      </c>
      <c r="B42" s="21">
        <v>151.87287434813285</v>
      </c>
      <c r="C42" s="21">
        <f t="shared" si="0"/>
        <v>177.69126298731544</v>
      </c>
      <c r="D42" s="21">
        <v>0.65</v>
      </c>
      <c r="E42" s="22">
        <f t="shared" si="2"/>
        <v>115.49932094175504</v>
      </c>
      <c r="F42" s="22">
        <f t="shared" si="3"/>
        <v>38.170715752830723</v>
      </c>
      <c r="G42" s="21">
        <v>0.19</v>
      </c>
      <c r="H42" s="22">
        <f>(($G$10/G42)*$C$49)*((1-D42)*C42)</f>
        <v>17.36732929080701</v>
      </c>
      <c r="I42" s="21">
        <f t="shared" si="5"/>
        <v>171.0373659853928</v>
      </c>
      <c r="J42" s="21">
        <f t="shared" si="1"/>
        <v>6.653897001922644</v>
      </c>
      <c r="L42" s="3">
        <f t="shared" si="6"/>
        <v>55.538045043637737</v>
      </c>
    </row>
    <row r="43" spans="1:13" x14ac:dyDescent="0.25">
      <c r="B43" s="1"/>
    </row>
    <row r="44" spans="1:13" s="7" customFormat="1" x14ac:dyDescent="0.25">
      <c r="A44" s="7" t="s">
        <v>25</v>
      </c>
      <c r="B44" s="12">
        <f>SUM(B3:B43)</f>
        <v>4803.1988357994969</v>
      </c>
      <c r="C44" s="12">
        <f>SUM(C3:C43)</f>
        <v>5619.7426378854088</v>
      </c>
      <c r="D44" s="12"/>
      <c r="E44" s="12">
        <f>SUM(E3:E43)</f>
        <v>2389.3297551529563</v>
      </c>
      <c r="F44" s="12">
        <f t="shared" ref="F44:L44" si="7">SUM(F3:F43)</f>
        <v>1982.6872719416124</v>
      </c>
      <c r="G44" s="12"/>
      <c r="H44" s="12">
        <f t="shared" si="7"/>
        <v>552.62128611865955</v>
      </c>
      <c r="I44" s="12">
        <f t="shared" si="7"/>
        <v>4924.6383132132287</v>
      </c>
      <c r="J44" s="12">
        <f t="shared" si="7"/>
        <v>695.10432467218243</v>
      </c>
      <c r="K44" s="12"/>
      <c r="L44" s="12">
        <f t="shared" si="7"/>
        <v>2535.3085580602715</v>
      </c>
      <c r="M44" s="12"/>
    </row>
    <row r="45" spans="1:13" x14ac:dyDescent="0.25">
      <c r="E45" s="4"/>
      <c r="F45" s="4"/>
    </row>
    <row r="47" spans="1:13" x14ac:dyDescent="0.25">
      <c r="E47" s="4"/>
      <c r="F47" s="4"/>
    </row>
    <row r="48" spans="1:13" x14ac:dyDescent="0.25">
      <c r="B48" t="s">
        <v>96</v>
      </c>
      <c r="C48" s="4">
        <f>116/189</f>
        <v>0.61375661375661372</v>
      </c>
      <c r="E48" s="4"/>
      <c r="F48" s="4"/>
    </row>
    <row r="49" spans="2:3" x14ac:dyDescent="0.25">
      <c r="B49" t="s">
        <v>97</v>
      </c>
      <c r="C49" s="4">
        <f>46/189</f>
        <v>0.24338624338624337</v>
      </c>
    </row>
    <row r="51" spans="2:3" x14ac:dyDescent="0.25">
      <c r="B51" t="s">
        <v>98</v>
      </c>
      <c r="C51" s="4">
        <f>SUM(C48:C50)</f>
        <v>0.8571428571428571</v>
      </c>
    </row>
    <row r="52" spans="2:3" x14ac:dyDescent="0.25">
      <c r="B52" t="s">
        <v>99</v>
      </c>
      <c r="C52" s="4">
        <f>1-C51</f>
        <v>0.1428571428571429</v>
      </c>
    </row>
    <row r="53" spans="2:3" x14ac:dyDescent="0.25">
      <c r="B53" t="s">
        <v>100</v>
      </c>
    </row>
    <row r="55" spans="2:3" x14ac:dyDescent="0.25">
      <c r="B55" t="s">
        <v>101</v>
      </c>
    </row>
    <row r="57" spans="2:3" x14ac:dyDescent="0.25">
      <c r="B57" t="s">
        <v>118</v>
      </c>
      <c r="C57">
        <v>1</v>
      </c>
    </row>
    <row r="58" spans="2:3" x14ac:dyDescent="0.25">
      <c r="B58" t="s">
        <v>119</v>
      </c>
    </row>
  </sheetData>
  <pageMargins left="0.7" right="0.7" top="0.75" bottom="0.75" header="0.3" footer="0.3"/>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2"/>
  <sheetViews>
    <sheetView topLeftCell="A19" workbookViewId="0">
      <selection activeCell="A31" sqref="A31"/>
    </sheetView>
  </sheetViews>
  <sheetFormatPr defaultRowHeight="15" x14ac:dyDescent="0.25"/>
  <cols>
    <col min="1" max="1" width="16.42578125" customWidth="1"/>
    <col min="8" max="8" width="8.7109375" style="11"/>
  </cols>
  <sheetData>
    <row r="1" spans="1:10" x14ac:dyDescent="0.25">
      <c r="A1" t="s">
        <v>34</v>
      </c>
      <c r="J1" t="s">
        <v>36</v>
      </c>
    </row>
    <row r="2" spans="1:10" x14ac:dyDescent="0.25">
      <c r="B2" s="7">
        <v>2008</v>
      </c>
      <c r="C2" s="7">
        <v>2009</v>
      </c>
      <c r="D2" s="7">
        <v>2010</v>
      </c>
      <c r="E2" s="7">
        <v>2011</v>
      </c>
      <c r="F2" s="7">
        <v>2012</v>
      </c>
      <c r="G2" s="7"/>
      <c r="H2" s="11" t="s">
        <v>35</v>
      </c>
    </row>
    <row r="3" spans="1:10" x14ac:dyDescent="0.25">
      <c r="A3" s="2" t="s">
        <v>0</v>
      </c>
      <c r="B3">
        <v>1054</v>
      </c>
      <c r="C3">
        <v>928</v>
      </c>
      <c r="D3">
        <v>1146</v>
      </c>
      <c r="E3">
        <v>1397</v>
      </c>
      <c r="F3">
        <v>1546</v>
      </c>
      <c r="H3" s="11">
        <f>AVERAGE(B3:F3)</f>
        <v>1214.2</v>
      </c>
    </row>
    <row r="4" spans="1:10" x14ac:dyDescent="0.25">
      <c r="A4" s="2" t="s">
        <v>1</v>
      </c>
      <c r="B4">
        <v>14.4</v>
      </c>
      <c r="C4">
        <v>10.7</v>
      </c>
      <c r="D4">
        <v>13.7</v>
      </c>
      <c r="E4">
        <v>18.5</v>
      </c>
      <c r="F4">
        <v>19</v>
      </c>
      <c r="H4" s="11">
        <f t="shared" ref="H4:H42" si="0">AVERAGE(B4:F4)</f>
        <v>15.26</v>
      </c>
    </row>
    <row r="5" spans="1:10" x14ac:dyDescent="0.25">
      <c r="A5" s="2" t="s">
        <v>2</v>
      </c>
      <c r="B5">
        <v>10.4</v>
      </c>
      <c r="C5">
        <v>10.4</v>
      </c>
      <c r="D5">
        <v>11.2</v>
      </c>
      <c r="E5">
        <v>12.8</v>
      </c>
      <c r="F5">
        <v>14.1</v>
      </c>
      <c r="H5" s="11">
        <f t="shared" si="0"/>
        <v>11.78</v>
      </c>
    </row>
    <row r="6" spans="1:10" x14ac:dyDescent="0.25">
      <c r="A6" s="2" t="s">
        <v>3</v>
      </c>
      <c r="B6">
        <v>4594</v>
      </c>
      <c r="C6">
        <v>5102</v>
      </c>
      <c r="D6">
        <v>6087</v>
      </c>
      <c r="E6">
        <v>7552</v>
      </c>
      <c r="F6">
        <v>8532</v>
      </c>
      <c r="H6" s="11">
        <f t="shared" si="0"/>
        <v>6373.4</v>
      </c>
    </row>
    <row r="7" spans="1:10" x14ac:dyDescent="0.25">
      <c r="A7" s="2" t="s">
        <v>4</v>
      </c>
      <c r="B7">
        <v>0.22500000000000001</v>
      </c>
      <c r="C7">
        <v>0.216</v>
      </c>
      <c r="D7">
        <v>0.24099999999999999</v>
      </c>
      <c r="E7">
        <v>0.27200000000000002</v>
      </c>
      <c r="F7">
        <v>0.3</v>
      </c>
      <c r="H7" s="11">
        <f t="shared" si="0"/>
        <v>0.25080000000000002</v>
      </c>
      <c r="J7" t="s">
        <v>37</v>
      </c>
    </row>
    <row r="8" spans="1:10" x14ac:dyDescent="0.25">
      <c r="A8" s="2" t="s">
        <v>5</v>
      </c>
      <c r="B8">
        <v>3.5</v>
      </c>
      <c r="C8">
        <v>2.9</v>
      </c>
      <c r="D8">
        <v>3.1</v>
      </c>
      <c r="E8">
        <v>3.8</v>
      </c>
      <c r="F8">
        <v>4</v>
      </c>
      <c r="H8" s="11">
        <f t="shared" si="0"/>
        <v>3.46</v>
      </c>
    </row>
    <row r="9" spans="1:10" x14ac:dyDescent="0.25">
      <c r="A9" s="2" t="s">
        <v>6</v>
      </c>
      <c r="B9">
        <v>7.1</v>
      </c>
      <c r="C9">
        <v>6.6</v>
      </c>
      <c r="D9">
        <v>6.1</v>
      </c>
      <c r="E9">
        <v>6.2</v>
      </c>
      <c r="F9">
        <v>5.7</v>
      </c>
      <c r="H9" s="11">
        <f t="shared" si="0"/>
        <v>6.339999999999999</v>
      </c>
      <c r="J9" t="s">
        <v>37</v>
      </c>
    </row>
    <row r="10" spans="1:10" x14ac:dyDescent="0.25">
      <c r="A10" s="2" t="s">
        <v>7</v>
      </c>
      <c r="B10">
        <v>4.5999999999999996</v>
      </c>
      <c r="C10">
        <v>4.8</v>
      </c>
      <c r="D10">
        <v>4.9000000000000004</v>
      </c>
      <c r="E10">
        <v>4.9000000000000004</v>
      </c>
      <c r="F10">
        <v>5.2</v>
      </c>
      <c r="H10" s="11">
        <f t="shared" si="0"/>
        <v>4.88</v>
      </c>
    </row>
    <row r="11" spans="1:10" x14ac:dyDescent="0.25">
      <c r="A11" s="2" t="s">
        <v>8</v>
      </c>
      <c r="B11">
        <v>510</v>
      </c>
      <c r="C11">
        <v>540</v>
      </c>
      <c r="D11">
        <v>755</v>
      </c>
      <c r="E11">
        <v>893</v>
      </c>
      <c r="F11">
        <v>918</v>
      </c>
      <c r="H11" s="11">
        <f t="shared" si="0"/>
        <v>723.2</v>
      </c>
    </row>
    <row r="12" spans="1:10" x14ac:dyDescent="0.25">
      <c r="A12" s="2" t="s">
        <v>9</v>
      </c>
      <c r="B12">
        <v>5038</v>
      </c>
      <c r="C12">
        <v>5231</v>
      </c>
      <c r="D12">
        <v>5700</v>
      </c>
      <c r="E12">
        <v>6157</v>
      </c>
      <c r="F12">
        <v>6203</v>
      </c>
      <c r="H12" s="11">
        <f t="shared" si="0"/>
        <v>5665.8</v>
      </c>
    </row>
    <row r="13" spans="1:10" x14ac:dyDescent="0.25">
      <c r="A13" s="2" t="s">
        <v>10</v>
      </c>
      <c r="B13">
        <v>231</v>
      </c>
      <c r="C13">
        <v>202</v>
      </c>
      <c r="D13">
        <v>255</v>
      </c>
      <c r="E13">
        <v>298</v>
      </c>
      <c r="F13">
        <v>314</v>
      </c>
      <c r="H13" s="11">
        <f>AVERAGE(B13:G13)</f>
        <v>260</v>
      </c>
    </row>
    <row r="14" spans="1:10" x14ac:dyDescent="0.25">
      <c r="A14" s="2" t="s">
        <v>11</v>
      </c>
      <c r="B14">
        <v>0.26</v>
      </c>
      <c r="C14">
        <v>0.28000000000000003</v>
      </c>
      <c r="D14">
        <v>0.3</v>
      </c>
      <c r="E14">
        <v>0.31</v>
      </c>
      <c r="F14">
        <v>0.33</v>
      </c>
      <c r="H14" s="11">
        <f t="shared" si="0"/>
        <v>0.29600000000000004</v>
      </c>
    </row>
    <row r="15" spans="1:10" x14ac:dyDescent="0.25">
      <c r="A15" s="2" t="s">
        <v>12</v>
      </c>
      <c r="B15">
        <v>9</v>
      </c>
      <c r="C15">
        <v>8.6999999999999993</v>
      </c>
      <c r="D15">
        <v>9.4</v>
      </c>
      <c r="E15">
        <v>10.3</v>
      </c>
      <c r="F15">
        <v>9.6999999999999993</v>
      </c>
      <c r="H15" s="11">
        <f t="shared" si="0"/>
        <v>9.4200000000000017</v>
      </c>
      <c r="J15" t="s">
        <v>37</v>
      </c>
    </row>
    <row r="16" spans="1:10" x14ac:dyDescent="0.25">
      <c r="A16" s="2" t="s">
        <v>13</v>
      </c>
      <c r="B16">
        <v>0.94</v>
      </c>
      <c r="C16">
        <v>0.8</v>
      </c>
      <c r="D16">
        <v>0.8</v>
      </c>
      <c r="E16">
        <v>0.73</v>
      </c>
      <c r="F16">
        <v>0.75</v>
      </c>
      <c r="H16" s="11">
        <f t="shared" si="0"/>
        <v>0.80399999999999994</v>
      </c>
    </row>
    <row r="17" spans="1:10" x14ac:dyDescent="0.25">
      <c r="A17" s="2" t="s">
        <v>14</v>
      </c>
      <c r="B17">
        <v>0.2</v>
      </c>
      <c r="C17">
        <v>0.19</v>
      </c>
      <c r="D17">
        <v>0.19</v>
      </c>
      <c r="E17">
        <v>0.2</v>
      </c>
      <c r="F17">
        <v>0.21</v>
      </c>
      <c r="H17" s="11">
        <f t="shared" si="0"/>
        <v>0.19800000000000001</v>
      </c>
    </row>
    <row r="18" spans="1:10" x14ac:dyDescent="0.25">
      <c r="A18" s="2" t="s">
        <v>15</v>
      </c>
      <c r="B18">
        <v>12</v>
      </c>
      <c r="C18">
        <v>12</v>
      </c>
      <c r="D18">
        <v>14</v>
      </c>
      <c r="E18">
        <v>18</v>
      </c>
      <c r="F18">
        <v>21</v>
      </c>
      <c r="H18" s="11">
        <f t="shared" si="0"/>
        <v>15.4</v>
      </c>
    </row>
    <row r="19" spans="1:10" x14ac:dyDescent="0.25">
      <c r="A19" s="2" t="s">
        <v>16</v>
      </c>
      <c r="B19">
        <v>181</v>
      </c>
      <c r="C19">
        <v>176</v>
      </c>
      <c r="D19">
        <v>208</v>
      </c>
      <c r="E19">
        <v>234</v>
      </c>
      <c r="F19">
        <v>262</v>
      </c>
      <c r="H19" s="11">
        <f t="shared" si="0"/>
        <v>212.2</v>
      </c>
    </row>
    <row r="20" spans="1:10" x14ac:dyDescent="0.25">
      <c r="A20" s="2" t="s">
        <v>17</v>
      </c>
      <c r="B20">
        <v>0.62</v>
      </c>
      <c r="C20">
        <v>0.57999999999999996</v>
      </c>
      <c r="D20">
        <v>0.66</v>
      </c>
      <c r="E20">
        <v>0.74</v>
      </c>
      <c r="F20">
        <v>0.76</v>
      </c>
      <c r="H20" s="11">
        <f t="shared" si="0"/>
        <v>0.67199999999999993</v>
      </c>
    </row>
    <row r="21" spans="1:10" x14ac:dyDescent="0.25">
      <c r="A21" s="2" t="s">
        <v>18</v>
      </c>
      <c r="B21">
        <v>0.7</v>
      </c>
      <c r="C21">
        <v>0.74</v>
      </c>
      <c r="D21">
        <v>0.85</v>
      </c>
      <c r="E21">
        <v>1.1000000000000001</v>
      </c>
      <c r="F21">
        <v>1.2</v>
      </c>
      <c r="H21" s="11">
        <f t="shared" si="0"/>
        <v>0.91799999999999993</v>
      </c>
    </row>
    <row r="22" spans="1:10" x14ac:dyDescent="0.25">
      <c r="A22" s="2" t="s">
        <v>19</v>
      </c>
      <c r="B22" s="3">
        <f>(13115096*0.036)/1000</f>
        <v>472.14345599999996</v>
      </c>
      <c r="C22" s="3">
        <f>(12919445*0.036)/1000</f>
        <v>465.10001999999997</v>
      </c>
      <c r="D22" s="3">
        <f>(14060345*0.036)/1000</f>
        <v>506.17241999999999</v>
      </c>
      <c r="E22" s="3">
        <f>(14262201*0.036)/1000</f>
        <v>513.43923599999994</v>
      </c>
      <c r="F22" s="3">
        <f>(14677765*0.036)/1000</f>
        <v>528.39953999999989</v>
      </c>
      <c r="H22" s="11">
        <f t="shared" si="0"/>
        <v>497.05093440000002</v>
      </c>
      <c r="J22" s="14" t="s">
        <v>38</v>
      </c>
    </row>
    <row r="23" spans="1:10" x14ac:dyDescent="0.25">
      <c r="A23" s="2" t="s">
        <v>20</v>
      </c>
      <c r="B23">
        <v>291</v>
      </c>
      <c r="C23">
        <v>282</v>
      </c>
      <c r="D23">
        <v>341</v>
      </c>
      <c r="E23">
        <v>371</v>
      </c>
      <c r="F23">
        <v>398</v>
      </c>
      <c r="H23" s="11">
        <f t="shared" si="0"/>
        <v>336.6</v>
      </c>
    </row>
    <row r="24" spans="1:10" x14ac:dyDescent="0.25">
      <c r="A24" s="2" t="s">
        <v>21</v>
      </c>
      <c r="B24">
        <v>0.34</v>
      </c>
      <c r="C24">
        <v>0.31</v>
      </c>
      <c r="D24">
        <v>0.37</v>
      </c>
      <c r="E24">
        <v>0.41</v>
      </c>
      <c r="F24">
        <v>0.47</v>
      </c>
      <c r="H24" s="11">
        <f t="shared" si="0"/>
        <v>0.38</v>
      </c>
    </row>
    <row r="25" spans="1:10" x14ac:dyDescent="0.25">
      <c r="A25" s="2" t="s">
        <v>22</v>
      </c>
      <c r="B25">
        <v>66.900000000000006</v>
      </c>
      <c r="C25">
        <v>65.7</v>
      </c>
      <c r="D25">
        <v>68.3</v>
      </c>
      <c r="E25">
        <v>70.599999999999994</v>
      </c>
      <c r="F25">
        <v>73.7</v>
      </c>
      <c r="H25" s="11">
        <f t="shared" si="0"/>
        <v>69.039999999999992</v>
      </c>
      <c r="J25" s="14" t="s">
        <v>39</v>
      </c>
    </row>
    <row r="26" spans="1:10" x14ac:dyDescent="0.25">
      <c r="A26" s="2" t="s">
        <v>23</v>
      </c>
      <c r="B26">
        <v>0.61</v>
      </c>
      <c r="C26">
        <v>0.61</v>
      </c>
      <c r="D26">
        <v>0.7</v>
      </c>
      <c r="E26">
        <v>0.79</v>
      </c>
      <c r="F26">
        <v>0.78</v>
      </c>
      <c r="H26" s="11">
        <f t="shared" si="0"/>
        <v>0.69800000000000006</v>
      </c>
    </row>
    <row r="27" spans="1:10" x14ac:dyDescent="0.25">
      <c r="A27" s="2" t="s">
        <v>24</v>
      </c>
      <c r="B27">
        <v>99</v>
      </c>
      <c r="C27">
        <v>106</v>
      </c>
      <c r="D27">
        <v>116</v>
      </c>
      <c r="E27">
        <v>136</v>
      </c>
      <c r="F27">
        <v>156</v>
      </c>
      <c r="H27" s="11">
        <f t="shared" si="0"/>
        <v>122.6</v>
      </c>
    </row>
    <row r="28" spans="1:10" x14ac:dyDescent="0.25">
      <c r="A28" t="s">
        <v>28</v>
      </c>
      <c r="B28">
        <v>0.15</v>
      </c>
      <c r="C28">
        <v>0.15</v>
      </c>
      <c r="D28">
        <v>0.16</v>
      </c>
      <c r="E28">
        <v>0.17</v>
      </c>
      <c r="F28">
        <v>0.18</v>
      </c>
      <c r="H28" s="11">
        <f t="shared" si="0"/>
        <v>0.16200000000000001</v>
      </c>
    </row>
    <row r="29" spans="1:10" x14ac:dyDescent="0.25">
      <c r="A29" t="s">
        <v>29</v>
      </c>
      <c r="B29">
        <v>0.14000000000000001</v>
      </c>
      <c r="C29">
        <v>0.13</v>
      </c>
      <c r="D29">
        <v>0.16</v>
      </c>
      <c r="E29">
        <v>0.18</v>
      </c>
      <c r="F29">
        <v>0.19</v>
      </c>
      <c r="H29" s="11">
        <f t="shared" si="0"/>
        <v>0.16</v>
      </c>
    </row>
    <row r="30" spans="1:10" x14ac:dyDescent="0.25">
      <c r="A30" t="s">
        <v>80</v>
      </c>
      <c r="B30">
        <v>0.65</v>
      </c>
      <c r="C30">
        <v>0.73</v>
      </c>
      <c r="D30">
        <v>0.88</v>
      </c>
      <c r="E30">
        <v>1.06</v>
      </c>
      <c r="F30">
        <v>1.1499999999999999</v>
      </c>
      <c r="H30" s="11">
        <f t="shared" si="0"/>
        <v>0.89399999999999991</v>
      </c>
    </row>
    <row r="31" spans="1:10" x14ac:dyDescent="0.25">
      <c r="A31" t="s">
        <v>135</v>
      </c>
      <c r="H31" s="11">
        <v>0.2</v>
      </c>
      <c r="J31" t="s">
        <v>116</v>
      </c>
    </row>
    <row r="32" spans="1:10" x14ac:dyDescent="0.25">
      <c r="A32" t="s">
        <v>81</v>
      </c>
      <c r="B32">
        <v>0.56000000000000005</v>
      </c>
      <c r="C32">
        <v>0.68</v>
      </c>
      <c r="D32">
        <v>0.57999999999999996</v>
      </c>
      <c r="E32">
        <v>0.56999999999999995</v>
      </c>
      <c r="F32">
        <v>0.64</v>
      </c>
      <c r="H32" s="11">
        <f t="shared" si="0"/>
        <v>0.60600000000000009</v>
      </c>
    </row>
    <row r="33" spans="1:10" x14ac:dyDescent="0.25">
      <c r="A33" t="s">
        <v>82</v>
      </c>
      <c r="B33">
        <v>0.03</v>
      </c>
      <c r="C33">
        <v>2.7E-2</v>
      </c>
      <c r="D33">
        <v>3.2000000000000001E-2</v>
      </c>
      <c r="E33">
        <v>3.9E-2</v>
      </c>
      <c r="F33">
        <v>3.7999999999999999E-2</v>
      </c>
      <c r="H33" s="11">
        <f t="shared" si="0"/>
        <v>3.32E-2</v>
      </c>
    </row>
    <row r="34" spans="1:10" x14ac:dyDescent="0.25">
      <c r="A34" t="s">
        <v>85</v>
      </c>
      <c r="B34">
        <v>133.13</v>
      </c>
      <c r="C34">
        <v>121.37</v>
      </c>
      <c r="D34">
        <v>146.52000000000001</v>
      </c>
      <c r="E34">
        <v>168.29</v>
      </c>
      <c r="F34">
        <v>176.21</v>
      </c>
      <c r="H34" s="11">
        <f t="shared" si="0"/>
        <v>149.10399999999998</v>
      </c>
      <c r="J34" t="s">
        <v>87</v>
      </c>
    </row>
    <row r="35" spans="1:10" x14ac:dyDescent="0.25">
      <c r="A35" s="2" t="s">
        <v>86</v>
      </c>
      <c r="B35">
        <v>4.2000000000000003E-2</v>
      </c>
      <c r="C35">
        <v>5.3999999999999999E-2</v>
      </c>
      <c r="D35">
        <v>5.8999999999999997E-2</v>
      </c>
      <c r="E35">
        <v>8.7999999999999995E-2</v>
      </c>
      <c r="F35">
        <v>0.12</v>
      </c>
      <c r="H35" s="11">
        <f t="shared" si="0"/>
        <v>7.2599999999999998E-2</v>
      </c>
      <c r="J35" s="14" t="s">
        <v>37</v>
      </c>
    </row>
    <row r="36" spans="1:10" x14ac:dyDescent="0.25">
      <c r="A36" s="3" t="s">
        <v>114</v>
      </c>
      <c r="B36">
        <v>193.6</v>
      </c>
      <c r="C36">
        <v>194.2</v>
      </c>
      <c r="D36">
        <v>239.8</v>
      </c>
      <c r="E36">
        <v>279.39999999999998</v>
      </c>
      <c r="F36">
        <v>295.10000000000002</v>
      </c>
      <c r="H36" s="11">
        <f t="shared" si="0"/>
        <v>240.42</v>
      </c>
    </row>
    <row r="37" spans="1:10" x14ac:dyDescent="0.25">
      <c r="A37" t="s">
        <v>110</v>
      </c>
      <c r="B37">
        <v>31.8</v>
      </c>
      <c r="C37">
        <v>42.2</v>
      </c>
      <c r="D37">
        <v>51.5</v>
      </c>
      <c r="E37">
        <v>54.1</v>
      </c>
      <c r="F37">
        <v>53.3</v>
      </c>
      <c r="H37" s="11">
        <f t="shared" si="0"/>
        <v>46.58</v>
      </c>
    </row>
    <row r="38" spans="1:10" x14ac:dyDescent="0.25">
      <c r="A38" t="s">
        <v>111</v>
      </c>
      <c r="B38">
        <v>2.27</v>
      </c>
      <c r="C38">
        <v>2.35</v>
      </c>
      <c r="D38">
        <v>2.59</v>
      </c>
      <c r="E38">
        <v>2.77</v>
      </c>
      <c r="F38">
        <v>2.89</v>
      </c>
      <c r="H38" s="11">
        <f t="shared" si="0"/>
        <v>2.5740000000000003</v>
      </c>
    </row>
    <row r="39" spans="1:10" x14ac:dyDescent="0.25">
      <c r="A39" t="s">
        <v>109</v>
      </c>
      <c r="B39">
        <v>1199</v>
      </c>
      <c r="C39">
        <v>1342</v>
      </c>
      <c r="D39">
        <v>1676</v>
      </c>
      <c r="E39">
        <v>1823</v>
      </c>
      <c r="F39">
        <v>1828</v>
      </c>
      <c r="H39" s="11">
        <f t="shared" si="0"/>
        <v>1573.6</v>
      </c>
    </row>
    <row r="40" spans="1:10" x14ac:dyDescent="0.25">
      <c r="A40" t="s">
        <v>112</v>
      </c>
      <c r="B40">
        <v>40.700000000000003</v>
      </c>
      <c r="C40">
        <v>42.1</v>
      </c>
      <c r="D40">
        <v>56.7</v>
      </c>
      <c r="E40">
        <v>65.3</v>
      </c>
      <c r="F40">
        <v>68.400000000000006</v>
      </c>
      <c r="H40" s="11">
        <f t="shared" si="0"/>
        <v>54.640000000000008</v>
      </c>
    </row>
    <row r="41" spans="1:10" x14ac:dyDescent="0.25">
      <c r="A41" t="s">
        <v>113</v>
      </c>
      <c r="B41">
        <v>91.6</v>
      </c>
      <c r="C41">
        <v>102.5</v>
      </c>
      <c r="D41">
        <v>115.3</v>
      </c>
      <c r="E41">
        <v>128.6</v>
      </c>
      <c r="F41">
        <v>133.4</v>
      </c>
      <c r="H41" s="11">
        <f t="shared" si="0"/>
        <v>114.28</v>
      </c>
    </row>
    <row r="42" spans="1:10" x14ac:dyDescent="0.25">
      <c r="A42" t="s">
        <v>115</v>
      </c>
      <c r="B42">
        <v>170.08</v>
      </c>
      <c r="C42">
        <v>168.15</v>
      </c>
      <c r="D42">
        <v>177.17</v>
      </c>
      <c r="E42">
        <v>213.59</v>
      </c>
      <c r="F42">
        <v>224.38</v>
      </c>
      <c r="H42" s="11">
        <f t="shared" si="0"/>
        <v>190.67400000000001</v>
      </c>
    </row>
  </sheetData>
  <hyperlinks>
    <hyperlink ref="J22" r:id="rId1" xr:uid="{00000000-0004-0000-0300-000000000000}"/>
    <hyperlink ref="J25" r:id="rId2" xr:uid="{00000000-0004-0000-0300-000001000000}"/>
    <hyperlink ref="J35" r:id="rId3" xr:uid="{00000000-0004-0000-0300-000002000000}"/>
  </hyperlinks>
  <pageMargins left="0.7" right="0.7" top="0.75" bottom="0.75" header="0.3" footer="0.3"/>
  <pageSetup paperSize="9" orientation="portrait" horizontalDpi="300" verticalDpi="300"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5"/>
  <sheetViews>
    <sheetView topLeftCell="A5" workbookViewId="0">
      <selection activeCell="A31" sqref="A31"/>
    </sheetView>
  </sheetViews>
  <sheetFormatPr defaultRowHeight="15" x14ac:dyDescent="0.25"/>
  <cols>
    <col min="1" max="1" width="49.28515625" bestFit="1" customWidth="1"/>
    <col min="8" max="8" width="8.7109375" style="11"/>
  </cols>
  <sheetData>
    <row r="1" spans="1:10" x14ac:dyDescent="0.25">
      <c r="A1" t="s">
        <v>43</v>
      </c>
      <c r="J1" t="s">
        <v>36</v>
      </c>
    </row>
    <row r="2" spans="1:10" x14ac:dyDescent="0.25">
      <c r="B2" s="7">
        <v>2008</v>
      </c>
      <c r="C2" s="7">
        <v>2009</v>
      </c>
      <c r="D2" s="7">
        <v>2010</v>
      </c>
      <c r="E2" s="7">
        <v>2011</v>
      </c>
      <c r="F2" s="7">
        <v>2012</v>
      </c>
      <c r="G2" s="7"/>
      <c r="H2" s="11" t="s">
        <v>35</v>
      </c>
    </row>
    <row r="3" spans="1:10" x14ac:dyDescent="0.25">
      <c r="A3" s="2" t="s">
        <v>0</v>
      </c>
      <c r="B3">
        <v>0.23</v>
      </c>
      <c r="C3">
        <v>0.23</v>
      </c>
      <c r="D3">
        <v>0.21</v>
      </c>
      <c r="E3">
        <v>0.2</v>
      </c>
      <c r="F3">
        <v>0.22</v>
      </c>
      <c r="H3" s="11">
        <f>AVERAGE(B3:F3)</f>
        <v>0.21800000000000003</v>
      </c>
    </row>
    <row r="4" spans="1:10" x14ac:dyDescent="0.25">
      <c r="A4" s="2" t="s">
        <v>1</v>
      </c>
      <c r="B4">
        <v>0.28000000000000003</v>
      </c>
      <c r="C4">
        <v>0.36</v>
      </c>
      <c r="D4">
        <v>0.28000000000000003</v>
      </c>
      <c r="E4">
        <v>0.3</v>
      </c>
      <c r="F4">
        <v>0.35</v>
      </c>
      <c r="H4" s="11">
        <f t="shared" ref="H4:H29" si="0">AVERAGE(B4:F4)</f>
        <v>0.31399999999999995</v>
      </c>
    </row>
    <row r="5" spans="1:10" x14ac:dyDescent="0.25">
      <c r="A5" s="2" t="s">
        <v>2</v>
      </c>
      <c r="B5">
        <v>0.68</v>
      </c>
      <c r="C5">
        <v>0.56000000000000005</v>
      </c>
      <c r="D5">
        <v>0.6</v>
      </c>
      <c r="E5">
        <v>0.6</v>
      </c>
      <c r="F5">
        <v>0.63</v>
      </c>
      <c r="H5" s="11">
        <f t="shared" si="0"/>
        <v>0.6140000000000001</v>
      </c>
    </row>
    <row r="6" spans="1:10" x14ac:dyDescent="0.25">
      <c r="A6" s="2" t="s">
        <v>3</v>
      </c>
      <c r="B6">
        <v>0.25</v>
      </c>
      <c r="C6">
        <v>0.2</v>
      </c>
      <c r="D6">
        <v>0.24</v>
      </c>
      <c r="E6">
        <v>0.24</v>
      </c>
      <c r="F6">
        <v>0.23</v>
      </c>
      <c r="H6" s="11">
        <f t="shared" si="0"/>
        <v>0.23199999999999998</v>
      </c>
    </row>
    <row r="7" spans="1:10" x14ac:dyDescent="0.25">
      <c r="A7" s="2" t="s">
        <v>4</v>
      </c>
      <c r="H7" s="11">
        <f>H24</f>
        <v>0.60599999999999998</v>
      </c>
      <c r="J7" t="s">
        <v>47</v>
      </c>
    </row>
    <row r="8" spans="1:10" x14ac:dyDescent="0.25">
      <c r="A8" s="2" t="s">
        <v>5</v>
      </c>
      <c r="B8">
        <v>0.74</v>
      </c>
      <c r="C8">
        <v>0.59</v>
      </c>
      <c r="D8">
        <v>0.64</v>
      </c>
      <c r="E8">
        <v>0.65</v>
      </c>
      <c r="F8">
        <v>0.64</v>
      </c>
      <c r="H8" s="11">
        <f t="shared" si="0"/>
        <v>0.65200000000000002</v>
      </c>
    </row>
    <row r="9" spans="1:10" x14ac:dyDescent="0.25">
      <c r="A9" s="2" t="s">
        <v>6</v>
      </c>
      <c r="H9" s="11">
        <f>H8</f>
        <v>0.65200000000000002</v>
      </c>
      <c r="J9" t="s">
        <v>48</v>
      </c>
    </row>
    <row r="10" spans="1:10" x14ac:dyDescent="0.25">
      <c r="A10" s="2" t="s">
        <v>7</v>
      </c>
      <c r="B10">
        <v>0.57999999999999996</v>
      </c>
      <c r="C10">
        <v>0.55000000000000004</v>
      </c>
      <c r="D10">
        <v>0.56000000000000005</v>
      </c>
      <c r="E10">
        <v>0.6</v>
      </c>
      <c r="F10">
        <v>0.57999999999999996</v>
      </c>
      <c r="H10" s="11">
        <f t="shared" si="0"/>
        <v>0.57400000000000007</v>
      </c>
    </row>
    <row r="11" spans="1:10" x14ac:dyDescent="0.25">
      <c r="A11" s="2" t="s">
        <v>8</v>
      </c>
      <c r="B11">
        <v>0.28999999999999998</v>
      </c>
      <c r="C11">
        <v>0.21</v>
      </c>
      <c r="D11">
        <v>0.22</v>
      </c>
      <c r="E11">
        <v>0.24</v>
      </c>
      <c r="F11">
        <v>0.25</v>
      </c>
      <c r="H11" s="11">
        <f t="shared" si="0"/>
        <v>0.24199999999999999</v>
      </c>
    </row>
    <row r="12" spans="1:10" x14ac:dyDescent="0.25">
      <c r="A12" s="2" t="s">
        <v>9</v>
      </c>
      <c r="B12">
        <v>0.17</v>
      </c>
      <c r="C12">
        <v>0.12</v>
      </c>
      <c r="D12">
        <v>0.14000000000000001</v>
      </c>
      <c r="E12">
        <v>0.16</v>
      </c>
      <c r="F12">
        <v>0.16</v>
      </c>
      <c r="H12" s="11">
        <f t="shared" si="0"/>
        <v>0.15000000000000002</v>
      </c>
    </row>
    <row r="13" spans="1:10" x14ac:dyDescent="0.25">
      <c r="A13" s="2" t="s">
        <v>10</v>
      </c>
      <c r="B13">
        <v>0.77</v>
      </c>
      <c r="C13">
        <v>0.71</v>
      </c>
      <c r="D13">
        <v>0.71</v>
      </c>
      <c r="E13">
        <v>0.7</v>
      </c>
      <c r="F13">
        <v>0.69</v>
      </c>
      <c r="H13" s="11">
        <f>AVERAGE(B13:G13)</f>
        <v>0.71599999999999997</v>
      </c>
    </row>
    <row r="14" spans="1:10" x14ac:dyDescent="0.25">
      <c r="A14" s="2" t="s">
        <v>11</v>
      </c>
      <c r="B14">
        <v>0.86</v>
      </c>
      <c r="C14">
        <v>0.87</v>
      </c>
      <c r="D14">
        <v>0.82</v>
      </c>
      <c r="E14">
        <v>0.82</v>
      </c>
      <c r="F14">
        <v>0.81</v>
      </c>
      <c r="H14" s="11">
        <f t="shared" si="0"/>
        <v>0.83599999999999997</v>
      </c>
    </row>
    <row r="15" spans="1:10" x14ac:dyDescent="0.25">
      <c r="A15" s="2" t="s">
        <v>12</v>
      </c>
      <c r="H15" s="11">
        <f>H8</f>
        <v>0.65200000000000002</v>
      </c>
      <c r="J15" t="s">
        <v>48</v>
      </c>
    </row>
    <row r="16" spans="1:10" x14ac:dyDescent="0.25">
      <c r="A16" s="2" t="s">
        <v>13</v>
      </c>
      <c r="B16">
        <v>0.49</v>
      </c>
      <c r="C16">
        <v>0.45</v>
      </c>
      <c r="D16">
        <v>0.51</v>
      </c>
      <c r="E16">
        <v>0.61</v>
      </c>
      <c r="F16">
        <v>0.64</v>
      </c>
      <c r="H16" s="11">
        <f t="shared" si="0"/>
        <v>0.54</v>
      </c>
    </row>
    <row r="17" spans="1:10" x14ac:dyDescent="0.25">
      <c r="A17" s="2" t="s">
        <v>14</v>
      </c>
      <c r="B17">
        <v>0.81</v>
      </c>
      <c r="C17">
        <v>0.71</v>
      </c>
      <c r="D17">
        <v>0.76</v>
      </c>
      <c r="E17">
        <v>0.85</v>
      </c>
      <c r="F17">
        <v>0.9</v>
      </c>
      <c r="H17" s="11">
        <f t="shared" si="0"/>
        <v>0.80600000000000005</v>
      </c>
    </row>
    <row r="18" spans="1:10" x14ac:dyDescent="0.25">
      <c r="A18" s="2" t="s">
        <v>15</v>
      </c>
      <c r="B18" t="s">
        <v>44</v>
      </c>
      <c r="C18" t="s">
        <v>44</v>
      </c>
      <c r="D18" t="s">
        <v>44</v>
      </c>
      <c r="E18" t="s">
        <v>44</v>
      </c>
      <c r="F18" t="s">
        <v>44</v>
      </c>
      <c r="H18" s="11">
        <v>0.6</v>
      </c>
      <c r="J18" t="s">
        <v>45</v>
      </c>
    </row>
    <row r="19" spans="1:10" x14ac:dyDescent="0.25">
      <c r="A19" s="2" t="s">
        <v>16</v>
      </c>
      <c r="B19">
        <v>0.34</v>
      </c>
      <c r="C19">
        <v>0.31</v>
      </c>
      <c r="D19">
        <v>0.33</v>
      </c>
      <c r="E19">
        <v>0.32</v>
      </c>
      <c r="F19">
        <v>0.3</v>
      </c>
      <c r="H19" s="11">
        <f t="shared" si="0"/>
        <v>0.32</v>
      </c>
    </row>
    <row r="20" spans="1:10" x14ac:dyDescent="0.25">
      <c r="A20" s="2" t="s">
        <v>17</v>
      </c>
      <c r="B20">
        <v>0.48</v>
      </c>
      <c r="C20">
        <v>0.52</v>
      </c>
      <c r="D20">
        <v>0.52</v>
      </c>
      <c r="E20">
        <v>0.54</v>
      </c>
      <c r="F20">
        <v>0.56999999999999995</v>
      </c>
      <c r="H20" s="11">
        <f t="shared" si="0"/>
        <v>0.52600000000000002</v>
      </c>
    </row>
    <row r="21" spans="1:10" x14ac:dyDescent="0.25">
      <c r="A21" s="2" t="s">
        <v>18</v>
      </c>
      <c r="B21">
        <v>0.57999999999999996</v>
      </c>
      <c r="C21">
        <v>0.47</v>
      </c>
      <c r="D21">
        <v>0.65</v>
      </c>
      <c r="E21">
        <v>0.62</v>
      </c>
      <c r="F21">
        <v>0.55000000000000004</v>
      </c>
      <c r="H21" s="11">
        <f t="shared" si="0"/>
        <v>0.57400000000000007</v>
      </c>
    </row>
    <row r="22" spans="1:10" x14ac:dyDescent="0.25">
      <c r="A22" s="2" t="s">
        <v>19</v>
      </c>
      <c r="B22" s="3"/>
      <c r="C22" s="3"/>
      <c r="D22" s="3"/>
      <c r="E22" s="3"/>
      <c r="F22" s="3"/>
      <c r="H22" s="11">
        <f>H6</f>
        <v>0.23199999999999998</v>
      </c>
      <c r="J22" t="s">
        <v>50</v>
      </c>
    </row>
    <row r="23" spans="1:10" x14ac:dyDescent="0.25">
      <c r="A23" s="2" t="s">
        <v>20</v>
      </c>
      <c r="B23">
        <v>0.69</v>
      </c>
      <c r="C23">
        <v>0.55000000000000004</v>
      </c>
      <c r="D23">
        <v>0.61</v>
      </c>
      <c r="E23">
        <v>0.69</v>
      </c>
      <c r="F23">
        <v>0.69</v>
      </c>
      <c r="H23" s="11">
        <f t="shared" si="0"/>
        <v>0.64600000000000002</v>
      </c>
    </row>
    <row r="24" spans="1:10" x14ac:dyDescent="0.25">
      <c r="A24" s="2" t="s">
        <v>21</v>
      </c>
      <c r="B24">
        <v>0.53</v>
      </c>
      <c r="C24">
        <v>0.65</v>
      </c>
      <c r="D24">
        <v>0.61</v>
      </c>
      <c r="E24">
        <v>0.63</v>
      </c>
      <c r="F24">
        <v>0.61</v>
      </c>
      <c r="H24" s="11">
        <f t="shared" si="0"/>
        <v>0.60599999999999998</v>
      </c>
    </row>
    <row r="25" spans="1:10" x14ac:dyDescent="0.25">
      <c r="A25" s="2" t="s">
        <v>22</v>
      </c>
      <c r="H25" s="11">
        <f>H10</f>
        <v>0.57400000000000007</v>
      </c>
      <c r="J25" t="s">
        <v>49</v>
      </c>
    </row>
    <row r="26" spans="1:10" x14ac:dyDescent="0.25">
      <c r="A26" s="2" t="s">
        <v>23</v>
      </c>
      <c r="B26">
        <v>0.57999999999999996</v>
      </c>
      <c r="C26">
        <v>0.56000000000000005</v>
      </c>
      <c r="D26">
        <v>0.53</v>
      </c>
      <c r="E26">
        <v>0.5</v>
      </c>
      <c r="F26">
        <v>0.51</v>
      </c>
      <c r="H26" s="11">
        <f t="shared" si="0"/>
        <v>0.53599999999999992</v>
      </c>
    </row>
    <row r="27" spans="1:10" x14ac:dyDescent="0.25">
      <c r="A27" s="2" t="s">
        <v>24</v>
      </c>
      <c r="B27">
        <v>0.84</v>
      </c>
      <c r="C27">
        <v>0.72</v>
      </c>
      <c r="D27">
        <v>0.8</v>
      </c>
      <c r="E27">
        <v>0.84</v>
      </c>
      <c r="F27">
        <v>0.77</v>
      </c>
      <c r="H27" s="11">
        <f t="shared" si="0"/>
        <v>0.79400000000000004</v>
      </c>
    </row>
    <row r="28" spans="1:10" x14ac:dyDescent="0.25">
      <c r="A28" t="s">
        <v>28</v>
      </c>
      <c r="B28">
        <v>0.89</v>
      </c>
      <c r="C28">
        <v>0.89</v>
      </c>
      <c r="D28">
        <v>0.89</v>
      </c>
      <c r="E28">
        <v>0.89</v>
      </c>
      <c r="F28">
        <v>0.89</v>
      </c>
      <c r="H28" s="11">
        <f t="shared" si="0"/>
        <v>0.89</v>
      </c>
      <c r="J28" t="s">
        <v>46</v>
      </c>
    </row>
    <row r="29" spans="1:10" x14ac:dyDescent="0.25">
      <c r="A29" t="s">
        <v>29</v>
      </c>
      <c r="B29">
        <v>0.85</v>
      </c>
      <c r="C29">
        <v>0.88</v>
      </c>
      <c r="D29">
        <v>0.79</v>
      </c>
      <c r="E29">
        <v>0.87</v>
      </c>
      <c r="F29">
        <v>0.91</v>
      </c>
      <c r="H29" s="11">
        <f t="shared" si="0"/>
        <v>0.86</v>
      </c>
    </row>
    <row r="30" spans="1:10" x14ac:dyDescent="0.25">
      <c r="A30" t="s">
        <v>80</v>
      </c>
      <c r="H30" s="11">
        <f>H28</f>
        <v>0.89</v>
      </c>
      <c r="J30" t="s">
        <v>83</v>
      </c>
    </row>
    <row r="31" spans="1:10" x14ac:dyDescent="0.25">
      <c r="A31" t="s">
        <v>135</v>
      </c>
      <c r="H31" s="11">
        <f>H28</f>
        <v>0.89</v>
      </c>
      <c r="J31" t="s">
        <v>84</v>
      </c>
    </row>
    <row r="32" spans="1:10" x14ac:dyDescent="0.25">
      <c r="A32" t="s">
        <v>81</v>
      </c>
      <c r="B32">
        <v>0.82</v>
      </c>
      <c r="C32">
        <v>0.82</v>
      </c>
      <c r="D32">
        <v>0.93</v>
      </c>
      <c r="E32">
        <v>0.97</v>
      </c>
      <c r="F32">
        <v>0.99</v>
      </c>
      <c r="H32" s="11">
        <f t="shared" ref="H32" si="1">H30</f>
        <v>0.89</v>
      </c>
    </row>
    <row r="33" spans="1:10" x14ac:dyDescent="0.25">
      <c r="A33" t="s">
        <v>82</v>
      </c>
      <c r="H33" s="11">
        <f>H28</f>
        <v>0.89</v>
      </c>
      <c r="J33" t="s">
        <v>84</v>
      </c>
    </row>
    <row r="34" spans="1:10" x14ac:dyDescent="0.25">
      <c r="A34" t="s">
        <v>123</v>
      </c>
      <c r="H34" s="11">
        <f>H28</f>
        <v>0.89</v>
      </c>
    </row>
    <row r="35" spans="1:10" x14ac:dyDescent="0.25">
      <c r="A35" s="2" t="s">
        <v>86</v>
      </c>
      <c r="H35" s="11">
        <f>H28</f>
        <v>0.89</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7"/>
  <sheetViews>
    <sheetView workbookViewId="0">
      <selection activeCell="D11" sqref="D11"/>
    </sheetView>
  </sheetViews>
  <sheetFormatPr defaultRowHeight="15" x14ac:dyDescent="0.25"/>
  <cols>
    <col min="6" max="6" width="19.5703125" bestFit="1" customWidth="1"/>
    <col min="7" max="7" width="32.5703125" bestFit="1" customWidth="1"/>
    <col min="8" max="8" width="29.28515625" bestFit="1" customWidth="1"/>
    <col min="10" max="10" width="9.5703125" bestFit="1" customWidth="1"/>
  </cols>
  <sheetData>
    <row r="1" spans="1:18" x14ac:dyDescent="0.25">
      <c r="A1" t="s">
        <v>51</v>
      </c>
    </row>
    <row r="2" spans="1:18" x14ac:dyDescent="0.25">
      <c r="G2" t="s">
        <v>52</v>
      </c>
      <c r="H2" s="3">
        <f>284300</f>
        <v>284300</v>
      </c>
      <c r="I2" t="s">
        <v>53</v>
      </c>
    </row>
    <row r="3" spans="1:18" x14ac:dyDescent="0.25">
      <c r="G3" t="s">
        <v>130</v>
      </c>
      <c r="H3" s="3">
        <f>SUM(H6:H45)</f>
        <v>224619.84</v>
      </c>
    </row>
    <row r="5" spans="1:18" x14ac:dyDescent="0.25">
      <c r="F5" t="s">
        <v>129</v>
      </c>
      <c r="H5" t="s">
        <v>54</v>
      </c>
    </row>
    <row r="6" spans="1:18" x14ac:dyDescent="0.25">
      <c r="F6" s="1">
        <f>(H6/H2)*100</f>
        <v>17.945831867745341</v>
      </c>
      <c r="G6" t="s">
        <v>56</v>
      </c>
      <c r="H6" s="3">
        <v>51020</v>
      </c>
    </row>
    <row r="7" spans="1:18" x14ac:dyDescent="0.25">
      <c r="F7" s="1">
        <f>(H7/H2)*100</f>
        <v>17.221245163559619</v>
      </c>
      <c r="G7" t="s">
        <v>55</v>
      </c>
      <c r="H7" s="3">
        <v>48960</v>
      </c>
      <c r="R7" s="4"/>
    </row>
    <row r="8" spans="1:18" x14ac:dyDescent="0.25">
      <c r="F8" s="1">
        <f>(H8/H2)*100</f>
        <v>8.8146324305311285</v>
      </c>
      <c r="G8" t="s">
        <v>57</v>
      </c>
      <c r="H8" s="3">
        <v>25060</v>
      </c>
    </row>
    <row r="9" spans="1:18" x14ac:dyDescent="0.25">
      <c r="F9" s="1">
        <f>(H9/H2)*100</f>
        <v>4.8680970805487158</v>
      </c>
      <c r="G9" t="s">
        <v>58</v>
      </c>
      <c r="H9" s="3">
        <v>13840</v>
      </c>
    </row>
    <row r="10" spans="1:18" x14ac:dyDescent="0.25">
      <c r="F10" s="1">
        <f>(H10/H2)*100</f>
        <v>3.5244460077383044</v>
      </c>
      <c r="G10" t="s">
        <v>5</v>
      </c>
      <c r="H10" s="3">
        <v>10020</v>
      </c>
    </row>
    <row r="11" spans="1:18" x14ac:dyDescent="0.25">
      <c r="F11" s="1">
        <f>(H11/H2)*100</f>
        <v>3.1375307773478718</v>
      </c>
      <c r="G11" t="s">
        <v>111</v>
      </c>
      <c r="H11" s="3">
        <v>8920</v>
      </c>
    </row>
    <row r="12" spans="1:18" s="2" customFormat="1" x14ac:dyDescent="0.25">
      <c r="F12" s="5">
        <f>(H12/H2)*100</f>
        <v>2.1491382342595853</v>
      </c>
      <c r="G12" s="2" t="s">
        <v>28</v>
      </c>
      <c r="H12" s="6">
        <v>6110</v>
      </c>
      <c r="I12"/>
      <c r="J12"/>
    </row>
    <row r="13" spans="1:18" s="2" customFormat="1" x14ac:dyDescent="0.25">
      <c r="F13" s="5">
        <f>(H13/H2)*100</f>
        <v>2.1104467112205416</v>
      </c>
      <c r="G13" s="2" t="s">
        <v>6</v>
      </c>
      <c r="H13" s="2">
        <v>6000</v>
      </c>
    </row>
    <row r="14" spans="1:18" s="2" customFormat="1" x14ac:dyDescent="0.25">
      <c r="F14" s="5">
        <f>(H14/H2)*100</f>
        <v>2.1034118888498066</v>
      </c>
      <c r="G14" s="2" t="s">
        <v>12</v>
      </c>
      <c r="H14" s="2">
        <v>5980</v>
      </c>
    </row>
    <row r="15" spans="1:18" s="2" customFormat="1" x14ac:dyDescent="0.25">
      <c r="F15" s="5">
        <f>(H15/H2)*100</f>
        <v>2.0365810763278227</v>
      </c>
      <c r="G15" s="2" t="s">
        <v>109</v>
      </c>
      <c r="H15" s="6">
        <v>5790</v>
      </c>
    </row>
    <row r="16" spans="1:18" x14ac:dyDescent="0.25">
      <c r="F16" s="5">
        <f>(H16/H2)*100</f>
        <v>2.0225114315863526</v>
      </c>
      <c r="G16" s="2" t="s">
        <v>59</v>
      </c>
      <c r="H16" s="6">
        <v>5750</v>
      </c>
      <c r="I16" s="2"/>
      <c r="J16" s="2"/>
    </row>
    <row r="17" spans="6:10" x14ac:dyDescent="0.25">
      <c r="F17" s="5">
        <f>(H17/H2)*100</f>
        <v>1.5265564544495251</v>
      </c>
      <c r="G17" s="2" t="s">
        <v>60</v>
      </c>
      <c r="H17" s="6">
        <v>4340</v>
      </c>
      <c r="I17" s="2"/>
      <c r="J17" s="2"/>
    </row>
    <row r="18" spans="6:10" x14ac:dyDescent="0.25">
      <c r="F18" s="5">
        <f>(H18/H2)*100</f>
        <v>1.445655997186071</v>
      </c>
      <c r="G18" s="2" t="s">
        <v>61</v>
      </c>
      <c r="H18" s="6">
        <v>4110</v>
      </c>
      <c r="I18" s="2"/>
    </row>
    <row r="19" spans="6:10" s="2" customFormat="1" x14ac:dyDescent="0.25">
      <c r="F19" s="1">
        <f>(H19/H2)*100</f>
        <v>1.266268026732325</v>
      </c>
      <c r="G19" t="s">
        <v>64</v>
      </c>
      <c r="H19" s="3">
        <v>3600</v>
      </c>
      <c r="J19"/>
    </row>
    <row r="20" spans="6:10" x14ac:dyDescent="0.25">
      <c r="F20" s="5">
        <f>(H20/H2)*100</f>
        <v>1.0341188884980654</v>
      </c>
      <c r="G20" s="2" t="s">
        <v>62</v>
      </c>
      <c r="H20" s="6">
        <v>2940</v>
      </c>
    </row>
    <row r="21" spans="6:10" x14ac:dyDescent="0.25">
      <c r="F21" s="1">
        <v>1.02</v>
      </c>
      <c r="G21" t="s">
        <v>63</v>
      </c>
      <c r="H21" s="3">
        <f>(F21/100)*$H$2</f>
        <v>2899.86</v>
      </c>
      <c r="J21" s="2"/>
    </row>
    <row r="22" spans="6:10" x14ac:dyDescent="0.25">
      <c r="F22" s="1">
        <f>(H22/H2)*100</f>
        <v>0.74920858248329236</v>
      </c>
      <c r="G22" t="s">
        <v>66</v>
      </c>
      <c r="H22" s="3">
        <v>2130</v>
      </c>
      <c r="I22" s="2"/>
    </row>
    <row r="23" spans="6:10" x14ac:dyDescent="0.25">
      <c r="F23" s="1">
        <f>(H23/H2)*100</f>
        <v>0.65775589166373549</v>
      </c>
      <c r="G23" t="s">
        <v>110</v>
      </c>
      <c r="H23" s="3">
        <v>1870</v>
      </c>
    </row>
    <row r="24" spans="6:10" x14ac:dyDescent="0.25">
      <c r="F24" s="1">
        <f>(H24/H2)*100</f>
        <v>0.53112908899050293</v>
      </c>
      <c r="G24" t="s">
        <v>3</v>
      </c>
      <c r="H24" s="3">
        <v>1510</v>
      </c>
      <c r="I24">
        <v>30000</v>
      </c>
      <c r="J24" t="s">
        <v>128</v>
      </c>
    </row>
    <row r="25" spans="6:10" x14ac:dyDescent="0.25">
      <c r="F25" s="1">
        <v>0.53</v>
      </c>
      <c r="G25" t="s">
        <v>65</v>
      </c>
      <c r="H25" s="3">
        <v>1500</v>
      </c>
    </row>
    <row r="26" spans="6:10" x14ac:dyDescent="0.25">
      <c r="F26" s="1">
        <v>0.46</v>
      </c>
      <c r="G26" t="s">
        <v>67</v>
      </c>
      <c r="H26" s="3">
        <f>(F26/100)*$H$2</f>
        <v>1307.78</v>
      </c>
    </row>
    <row r="27" spans="6:10" x14ac:dyDescent="0.25">
      <c r="F27" s="1">
        <f>(H27/H2)*100</f>
        <v>0.44671122054168133</v>
      </c>
      <c r="G27" t="s">
        <v>68</v>
      </c>
      <c r="H27" s="3">
        <v>1270</v>
      </c>
    </row>
    <row r="28" spans="6:10" x14ac:dyDescent="0.25">
      <c r="F28" s="1">
        <f>(H28/H2)*100</f>
        <v>0.41505451987337322</v>
      </c>
      <c r="G28" t="s">
        <v>69</v>
      </c>
      <c r="H28" s="3">
        <v>1180</v>
      </c>
    </row>
    <row r="29" spans="6:10" x14ac:dyDescent="0.25">
      <c r="F29" s="1">
        <f>(H29/H2)*100</f>
        <v>0.40450228631727048</v>
      </c>
      <c r="G29" t="s">
        <v>14</v>
      </c>
      <c r="H29" s="3">
        <v>1150</v>
      </c>
    </row>
    <row r="30" spans="6:10" x14ac:dyDescent="0.25">
      <c r="F30" s="1">
        <v>0.4</v>
      </c>
      <c r="G30" t="s">
        <v>70</v>
      </c>
      <c r="H30" s="3">
        <f>(F30/100)*$H$2</f>
        <v>1137.2</v>
      </c>
    </row>
    <row r="31" spans="6:10" x14ac:dyDescent="0.25">
      <c r="F31" s="1">
        <f>(H31/H2)*100</f>
        <v>0.39395005276116779</v>
      </c>
      <c r="G31" t="s">
        <v>4</v>
      </c>
      <c r="H31">
        <v>1120</v>
      </c>
    </row>
    <row r="32" spans="6:10" x14ac:dyDescent="0.25">
      <c r="F32" s="1">
        <f>(H32/H2)*100</f>
        <v>0.33063665142455151</v>
      </c>
      <c r="G32" t="s">
        <v>71</v>
      </c>
      <c r="H32">
        <v>940</v>
      </c>
    </row>
    <row r="33" spans="6:10" x14ac:dyDescent="0.25">
      <c r="F33" s="1">
        <f>(H33/H2)*100</f>
        <v>0.33063665142455151</v>
      </c>
      <c r="G33" t="s">
        <v>72</v>
      </c>
      <c r="H33" s="3">
        <v>940</v>
      </c>
    </row>
    <row r="34" spans="6:10" x14ac:dyDescent="0.25">
      <c r="F34" s="1">
        <f>(H34/H2)*100</f>
        <v>0.26028842771720012</v>
      </c>
      <c r="G34" t="s">
        <v>73</v>
      </c>
      <c r="H34" s="3">
        <f>30+490+220</f>
        <v>740</v>
      </c>
      <c r="J34" t="s">
        <v>88</v>
      </c>
    </row>
    <row r="35" spans="6:10" x14ac:dyDescent="0.25">
      <c r="F35" s="1">
        <f>(H35/H2)*100</f>
        <v>0.24973619416109741</v>
      </c>
      <c r="G35" t="s">
        <v>74</v>
      </c>
      <c r="H35" s="3">
        <v>710</v>
      </c>
    </row>
    <row r="36" spans="6:10" x14ac:dyDescent="0.25">
      <c r="F36" s="1">
        <f>(H36/H2)*100</f>
        <v>0.23918396060499475</v>
      </c>
      <c r="G36" t="s">
        <v>112</v>
      </c>
      <c r="H36" s="3">
        <v>680</v>
      </c>
    </row>
    <row r="37" spans="6:10" x14ac:dyDescent="0.25">
      <c r="F37" s="1">
        <f>(H37/H2)*100</f>
        <v>7.738304607808652E-2</v>
      </c>
      <c r="G37" t="s">
        <v>7</v>
      </c>
      <c r="H37">
        <v>220</v>
      </c>
    </row>
    <row r="38" spans="6:10" x14ac:dyDescent="0.25">
      <c r="F38" s="1">
        <f>(H38/H2)*100</f>
        <v>7.738304607808652E-2</v>
      </c>
      <c r="G38" t="s">
        <v>75</v>
      </c>
      <c r="H38" s="3">
        <v>220</v>
      </c>
    </row>
    <row r="39" spans="6:10" x14ac:dyDescent="0.25">
      <c r="F39" s="1">
        <f>(H39/H2)*100</f>
        <v>7.3865634892718968E-2</v>
      </c>
      <c r="G39" t="s">
        <v>76</v>
      </c>
      <c r="H39" s="3">
        <v>210</v>
      </c>
    </row>
    <row r="40" spans="6:10" x14ac:dyDescent="0.25">
      <c r="F40" s="1">
        <f>(H40/H2)*100</f>
        <v>5.9795990151248687E-2</v>
      </c>
      <c r="G40" t="s">
        <v>77</v>
      </c>
      <c r="H40">
        <v>170</v>
      </c>
    </row>
    <row r="41" spans="6:10" x14ac:dyDescent="0.25">
      <c r="F41" s="1">
        <f>(H41/H2)*100</f>
        <v>2.6380583890256774E-2</v>
      </c>
      <c r="G41" t="s">
        <v>114</v>
      </c>
      <c r="H41" s="3">
        <v>75</v>
      </c>
    </row>
    <row r="42" spans="6:10" x14ac:dyDescent="0.25">
      <c r="F42" s="1">
        <f>(H42/H2)*100</f>
        <v>1.7587055926837847E-2</v>
      </c>
      <c r="G42" t="s">
        <v>2</v>
      </c>
      <c r="H42" s="3">
        <v>50</v>
      </c>
      <c r="J42" t="s">
        <v>78</v>
      </c>
    </row>
    <row r="43" spans="6:10" x14ac:dyDescent="0.25">
      <c r="F43" s="1">
        <f>(H43/H2)*100</f>
        <v>1.7587055926837847E-2</v>
      </c>
      <c r="G43" t="s">
        <v>13</v>
      </c>
      <c r="H43" s="3">
        <v>50</v>
      </c>
      <c r="J43" t="s">
        <v>78</v>
      </c>
    </row>
    <row r="44" spans="6:10" x14ac:dyDescent="0.25">
      <c r="F44" s="1">
        <f>(H44/H2)*100</f>
        <v>1.7587055926837847E-2</v>
      </c>
      <c r="G44" t="s">
        <v>86</v>
      </c>
      <c r="H44" s="3">
        <v>50</v>
      </c>
      <c r="J44" t="s">
        <v>78</v>
      </c>
    </row>
    <row r="45" spans="6:10" x14ac:dyDescent="0.25">
      <c r="F45" s="1">
        <f>(H45/H2)*100</f>
        <v>1.7587055926837847E-2</v>
      </c>
      <c r="G45" t="s">
        <v>113</v>
      </c>
      <c r="H45" s="3">
        <v>50</v>
      </c>
      <c r="J45" t="s">
        <v>78</v>
      </c>
    </row>
    <row r="46" spans="6:10" x14ac:dyDescent="0.25">
      <c r="F46" s="1"/>
      <c r="G46" t="s">
        <v>115</v>
      </c>
      <c r="H46" s="3"/>
      <c r="J46" t="s">
        <v>133</v>
      </c>
    </row>
    <row r="47" spans="6:10" x14ac:dyDescent="0.25">
      <c r="F47" s="3">
        <f>SUM(F6:F46)</f>
        <v>79.010422089342228</v>
      </c>
    </row>
  </sheetData>
  <pageMargins left="0.7" right="0.7" top="0.75" bottom="0.75" header="0.3" footer="0.3"/>
  <pageSetup paperSize="9"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17A21884C7904D94FAE8E78F6791C9" ma:contentTypeVersion="14" ma:contentTypeDescription="Create a new document." ma:contentTypeScope="" ma:versionID="c8f0ea01bae9bbbcf3e04c78f0d3bfb1">
  <xsd:schema xmlns:xsd="http://www.w3.org/2001/XMLSchema" xmlns:xs="http://www.w3.org/2001/XMLSchema" xmlns:p="http://schemas.microsoft.com/office/2006/metadata/properties" xmlns:ns3="2b7eb747-fbb4-4328-b123-7b92e8430e97" xmlns:ns4="c8f38e00-0858-4873-9dd9-b62711104405" targetNamespace="http://schemas.microsoft.com/office/2006/metadata/properties" ma:root="true" ma:fieldsID="27e4ba63324dd816881ea373476538be" ns3:_="" ns4:_="">
    <xsd:import namespace="2b7eb747-fbb4-4328-b123-7b92e8430e97"/>
    <xsd:import namespace="c8f38e00-0858-4873-9dd9-b6271110440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7eb747-fbb4-4328-b123-7b92e8430e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f38e00-0858-4873-9dd9-b6271110440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541E4F-96F2-465F-A703-14854923E7CE}">
  <ds:schemaRefs>
    <ds:schemaRef ds:uri="http://schemas.microsoft.com/sharepoint/v3/contenttype/forms"/>
  </ds:schemaRefs>
</ds:datastoreItem>
</file>

<file path=customXml/itemProps2.xml><?xml version="1.0" encoding="utf-8"?>
<ds:datastoreItem xmlns:ds="http://schemas.openxmlformats.org/officeDocument/2006/customXml" ds:itemID="{AA4945D0-952E-426E-AAAA-7062D4C6D607}">
  <ds:schemaRefs>
    <ds:schemaRef ds:uri="http://purl.org/dc/terms/"/>
    <ds:schemaRef ds:uri="2b7eb747-fbb4-4328-b123-7b92e8430e97"/>
    <ds:schemaRef ds:uri="http://schemas.microsoft.com/office/2006/documentManagement/types"/>
    <ds:schemaRef ds:uri="http://purl.org/dc/dcmitype/"/>
    <ds:schemaRef ds:uri="http://schemas.microsoft.com/office/infopath/2007/PartnerControls"/>
    <ds:schemaRef ds:uri="c8f38e00-0858-4873-9dd9-b62711104405"/>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635AB44-7126-4477-9C25-C4D3D7535B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7eb747-fbb4-4328-b123-7b92e8430e97"/>
    <ds:schemaRef ds:uri="c8f38e00-0858-4873-9dd9-b627111044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Tourism</vt:lpstr>
      <vt:lpstr>Fisheries</vt:lpstr>
      <vt:lpstr>GDP avg</vt:lpstr>
      <vt:lpstr>import share</vt:lpstr>
      <vt:lpstr>surface 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2023-10-27T22:28:54Z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0x010100C517A21884C7904D94FAE8E78F6791C9</vt:lpwstr>
  </property>
</Properties>
</file>