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defaultThemeVersion="164011"/>
  <bookViews>
    <workbookView xWindow="0" yWindow="0" windowWidth="19200" windowHeight="6440"/>
  </bookViews>
  <sheets>
    <sheet name="datasheet" sheetId="1" r:id="rId1"/>
    <sheet name="sample description" sheetId="3" r:id="rId2"/>
    <sheet name="codesheet" sheetId="2" r:id="rId3"/>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I9" i="3" l="1"/>
  <c r="H9" i="3"/>
  <c r="G9" i="3"/>
  <c r="F9" i="3"/>
  <c r="E9" i="3"/>
  <c r="D9" i="3"/>
  <c r="I10" i="3"/>
  <c r="H10" i="3"/>
  <c r="G10" i="3"/>
  <c r="F10" i="3"/>
  <c r="E10" i="3"/>
  <c r="D10" i="3"/>
  <c r="C10" i="3"/>
  <c r="C9" i="3"/>
  <c r="T232" i="1" l="1"/>
  <c r="T231" i="1" l="1"/>
  <c r="T230" i="1"/>
  <c r="T229" i="1" l="1"/>
  <c r="T228" i="1" l="1"/>
  <c r="T227" i="1"/>
  <c r="T2" i="1" l="1"/>
  <c r="T3" i="1" l="1"/>
  <c r="T4" i="1"/>
  <c r="T5" i="1"/>
  <c r="T6" i="1"/>
  <c r="T7" i="1"/>
  <c r="T8" i="1"/>
  <c r="T9" i="1"/>
  <c r="T10" i="1"/>
  <c r="T11" i="1"/>
  <c r="T12" i="1"/>
  <c r="T13" i="1"/>
  <c r="T14" i="1"/>
  <c r="T15" i="1"/>
  <c r="T16" i="1"/>
  <c r="T17" i="1"/>
  <c r="T18" i="1"/>
  <c r="T19" i="1"/>
  <c r="T20" i="1"/>
  <c r="T21" i="1"/>
  <c r="T22" i="1"/>
  <c r="T23" i="1"/>
  <c r="T24" i="1"/>
  <c r="T25" i="1"/>
  <c r="T26" i="1"/>
  <c r="T27" i="1"/>
  <c r="T28" i="1"/>
  <c r="T29" i="1"/>
  <c r="T30" i="1"/>
  <c r="T31" i="1"/>
  <c r="T32" i="1"/>
  <c r="T33" i="1"/>
  <c r="T34" i="1"/>
  <c r="T35" i="1"/>
  <c r="T36" i="1"/>
  <c r="T37" i="1"/>
  <c r="T38" i="1"/>
  <c r="T39" i="1"/>
  <c r="T40" i="1"/>
  <c r="T41" i="1"/>
  <c r="T42" i="1"/>
  <c r="T43" i="1"/>
  <c r="T44" i="1"/>
  <c r="T45" i="1"/>
  <c r="T46" i="1"/>
  <c r="T47" i="1"/>
  <c r="T48" i="1"/>
  <c r="T49" i="1"/>
  <c r="T50" i="1"/>
  <c r="T51" i="1"/>
  <c r="T52" i="1"/>
  <c r="T53" i="1"/>
  <c r="T54" i="1"/>
  <c r="T55" i="1"/>
  <c r="T56" i="1"/>
  <c r="T57" i="1"/>
  <c r="T58" i="1"/>
  <c r="T59" i="1"/>
  <c r="T60" i="1"/>
  <c r="T61" i="1"/>
  <c r="T62" i="1"/>
  <c r="T63" i="1"/>
  <c r="T64" i="1"/>
  <c r="T65" i="1"/>
  <c r="T66" i="1"/>
  <c r="T67" i="1"/>
  <c r="T68" i="1"/>
  <c r="T69" i="1"/>
  <c r="T70" i="1"/>
  <c r="T71" i="1"/>
  <c r="T72" i="1"/>
  <c r="T73" i="1"/>
  <c r="T74" i="1"/>
  <c r="T75" i="1"/>
  <c r="T76" i="1"/>
  <c r="T77" i="1"/>
  <c r="T78" i="1"/>
  <c r="T79" i="1"/>
  <c r="T80" i="1"/>
  <c r="T81" i="1"/>
  <c r="T82" i="1"/>
  <c r="T83" i="1"/>
  <c r="T84" i="1"/>
  <c r="T85" i="1"/>
  <c r="T86" i="1"/>
  <c r="T87" i="1"/>
  <c r="T88" i="1"/>
  <c r="T89" i="1"/>
  <c r="T90" i="1"/>
  <c r="T91" i="1"/>
  <c r="T92" i="1"/>
  <c r="T93" i="1"/>
  <c r="T94" i="1"/>
  <c r="T95" i="1"/>
  <c r="T96" i="1"/>
  <c r="T97" i="1"/>
  <c r="T98" i="1"/>
  <c r="T99" i="1"/>
  <c r="T100" i="1"/>
  <c r="T101" i="1"/>
  <c r="T102" i="1"/>
  <c r="T103" i="1"/>
  <c r="T104" i="1"/>
  <c r="T105" i="1"/>
  <c r="T106" i="1"/>
  <c r="T107" i="1"/>
  <c r="T108" i="1"/>
  <c r="T109" i="1"/>
  <c r="T110" i="1"/>
  <c r="T111" i="1"/>
  <c r="T112" i="1"/>
  <c r="T113" i="1"/>
  <c r="T114" i="1"/>
  <c r="T115" i="1"/>
  <c r="T116" i="1"/>
  <c r="T117" i="1"/>
  <c r="T118" i="1"/>
  <c r="T119" i="1"/>
  <c r="T120" i="1"/>
  <c r="T121" i="1"/>
  <c r="T122" i="1"/>
  <c r="T123" i="1"/>
  <c r="T124" i="1"/>
  <c r="T125" i="1"/>
  <c r="T126" i="1"/>
  <c r="T127" i="1"/>
  <c r="T128" i="1"/>
  <c r="T129" i="1"/>
  <c r="T130" i="1"/>
  <c r="T131" i="1"/>
  <c r="T132" i="1"/>
  <c r="T133" i="1"/>
  <c r="T134" i="1"/>
  <c r="T135" i="1"/>
  <c r="T136" i="1"/>
  <c r="T137" i="1"/>
  <c r="T138" i="1"/>
  <c r="T139" i="1"/>
  <c r="T140" i="1"/>
  <c r="T141" i="1"/>
  <c r="T142" i="1"/>
  <c r="T143" i="1"/>
  <c r="T144" i="1"/>
  <c r="T145" i="1"/>
  <c r="T146" i="1"/>
  <c r="T147" i="1"/>
  <c r="T148" i="1"/>
  <c r="T149" i="1"/>
  <c r="T150" i="1"/>
  <c r="T151" i="1"/>
  <c r="T152" i="1"/>
  <c r="T153" i="1"/>
  <c r="T154" i="1"/>
  <c r="T155" i="1"/>
  <c r="T156" i="1"/>
  <c r="T157" i="1"/>
  <c r="T158" i="1"/>
  <c r="T159" i="1"/>
  <c r="T160" i="1"/>
  <c r="T161" i="1"/>
  <c r="T162" i="1"/>
  <c r="T163" i="1"/>
  <c r="T164" i="1"/>
  <c r="T165" i="1"/>
  <c r="T166" i="1"/>
  <c r="T167" i="1"/>
  <c r="T168" i="1"/>
  <c r="T169" i="1"/>
  <c r="T170" i="1"/>
  <c r="T171" i="1"/>
  <c r="T172" i="1"/>
  <c r="T173" i="1"/>
  <c r="T174" i="1"/>
  <c r="T175" i="1"/>
  <c r="T176" i="1"/>
  <c r="T177" i="1"/>
  <c r="T178" i="1"/>
  <c r="T179" i="1"/>
  <c r="T180" i="1"/>
  <c r="T181" i="1"/>
  <c r="T182" i="1"/>
  <c r="T183" i="1"/>
  <c r="T184" i="1"/>
  <c r="T185" i="1"/>
  <c r="T186" i="1"/>
  <c r="T187" i="1"/>
  <c r="T188" i="1"/>
  <c r="T189" i="1"/>
  <c r="T190" i="1"/>
  <c r="T191" i="1"/>
  <c r="T192" i="1"/>
  <c r="T193" i="1"/>
  <c r="T194" i="1"/>
  <c r="T195" i="1"/>
  <c r="T196" i="1"/>
  <c r="T197" i="1"/>
  <c r="T198" i="1"/>
  <c r="T199" i="1"/>
  <c r="T200" i="1"/>
  <c r="T201" i="1"/>
  <c r="T202" i="1"/>
  <c r="T203" i="1"/>
  <c r="T204" i="1"/>
  <c r="T205" i="1"/>
  <c r="T206" i="1"/>
  <c r="T207" i="1"/>
  <c r="T208" i="1"/>
  <c r="T209" i="1"/>
  <c r="T210" i="1"/>
  <c r="T211" i="1"/>
  <c r="T212" i="1"/>
  <c r="T213" i="1"/>
  <c r="T214" i="1"/>
  <c r="T215" i="1"/>
  <c r="T216" i="1"/>
  <c r="T217" i="1"/>
  <c r="T218" i="1"/>
  <c r="T219" i="1"/>
  <c r="T220" i="1"/>
  <c r="T221" i="1"/>
  <c r="T222" i="1"/>
  <c r="T223" i="1"/>
  <c r="T224" i="1"/>
  <c r="T225" i="1"/>
  <c r="T226" i="1"/>
  <c r="D21" i="3" l="1"/>
  <c r="H22" i="3" l="1" a="1"/>
  <c r="H22" i="3" s="1"/>
  <c r="I22" i="3" a="1"/>
  <c r="I22" i="3" s="1"/>
  <c r="J22" i="3"/>
  <c r="J20" i="3"/>
  <c r="G22" i="3" a="1"/>
  <c r="G22" i="3" s="1"/>
  <c r="F22" i="3" a="1"/>
  <c r="F22" i="3" s="1"/>
  <c r="E22" i="3" a="1"/>
  <c r="E22" i="3" s="1"/>
  <c r="D22" i="3" a="1"/>
  <c r="D22" i="3" s="1"/>
  <c r="J21" i="3"/>
  <c r="I21" i="3"/>
  <c r="H21" i="3"/>
  <c r="G21" i="3"/>
  <c r="F21" i="3"/>
  <c r="E21" i="3"/>
  <c r="C22" i="3" a="1"/>
  <c r="C22" i="3" s="1"/>
  <c r="C21" i="3"/>
  <c r="I20" i="3" a="1"/>
  <c r="I20" i="3" s="1"/>
  <c r="H20" i="3" a="1"/>
  <c r="H20" i="3" s="1"/>
  <c r="G20" i="3" a="1"/>
  <c r="G20" i="3" s="1"/>
  <c r="F20" i="3" a="1"/>
  <c r="F20" i="3" s="1"/>
  <c r="E20" i="3" a="1"/>
  <c r="E20" i="3" s="1"/>
  <c r="D20" i="3" a="1"/>
  <c r="D20" i="3" s="1"/>
  <c r="C20" i="3" a="1"/>
  <c r="C20" i="3" s="1"/>
  <c r="J19" i="3" l="1"/>
  <c r="I19" i="3"/>
  <c r="H19" i="3"/>
  <c r="G19" i="3"/>
  <c r="F19" i="3"/>
  <c r="E19" i="3"/>
  <c r="D19" i="3"/>
  <c r="C19" i="3"/>
  <c r="I18" i="3"/>
  <c r="H18" i="3"/>
  <c r="G18" i="3"/>
  <c r="F18" i="3"/>
  <c r="E18" i="3"/>
  <c r="D18" i="3"/>
  <c r="I17" i="3"/>
  <c r="H17" i="3"/>
  <c r="G17" i="3"/>
  <c r="F17" i="3"/>
  <c r="E17" i="3"/>
  <c r="D17" i="3"/>
  <c r="C18" i="3"/>
  <c r="C17" i="3"/>
  <c r="I16" i="3"/>
  <c r="H16" i="3"/>
  <c r="G16" i="3"/>
  <c r="F16" i="3"/>
  <c r="E16" i="3"/>
  <c r="D16" i="3"/>
  <c r="I15" i="3"/>
  <c r="H15" i="3"/>
  <c r="G15" i="3"/>
  <c r="F15" i="3"/>
  <c r="E15" i="3"/>
  <c r="D15" i="3"/>
  <c r="I14" i="3"/>
  <c r="H14" i="3"/>
  <c r="G14" i="3"/>
  <c r="F14" i="3"/>
  <c r="E14" i="3"/>
  <c r="D14" i="3"/>
  <c r="I13" i="3"/>
  <c r="H13" i="3"/>
  <c r="G13" i="3"/>
  <c r="F13" i="3"/>
  <c r="E13" i="3"/>
  <c r="D13" i="3"/>
  <c r="I12" i="3"/>
  <c r="H12" i="3"/>
  <c r="G12" i="3"/>
  <c r="F12" i="3"/>
  <c r="E12" i="3"/>
  <c r="D12" i="3"/>
  <c r="I11" i="3"/>
  <c r="H11" i="3"/>
  <c r="G11" i="3"/>
  <c r="F11" i="3"/>
  <c r="E11" i="3"/>
  <c r="D11" i="3"/>
  <c r="C16" i="3"/>
  <c r="C15" i="3"/>
  <c r="C14" i="3"/>
  <c r="C13" i="3"/>
  <c r="C12" i="3"/>
  <c r="C11" i="3"/>
  <c r="I8" i="3"/>
  <c r="H8" i="3"/>
  <c r="G8" i="3"/>
  <c r="F8" i="3"/>
  <c r="E8" i="3"/>
  <c r="I7" i="3"/>
  <c r="H7" i="3"/>
  <c r="G7" i="3"/>
  <c r="F7" i="3"/>
  <c r="E7" i="3"/>
  <c r="I6" i="3"/>
  <c r="H6" i="3"/>
  <c r="G6" i="3"/>
  <c r="F6" i="3"/>
  <c r="E6" i="3"/>
  <c r="I5" i="3"/>
  <c r="H5" i="3"/>
  <c r="G5" i="3"/>
  <c r="F5" i="3"/>
  <c r="E5" i="3"/>
  <c r="I4" i="3"/>
  <c r="H4" i="3"/>
  <c r="G4" i="3"/>
  <c r="F4" i="3"/>
  <c r="E4" i="3"/>
  <c r="I3" i="3"/>
  <c r="H3" i="3"/>
  <c r="G3" i="3"/>
  <c r="F3" i="3"/>
  <c r="E3" i="3"/>
  <c r="D8" i="3"/>
  <c r="D7" i="3"/>
  <c r="D6" i="3"/>
  <c r="D5" i="3"/>
  <c r="D4" i="3"/>
  <c r="D3" i="3"/>
  <c r="C8" i="3"/>
  <c r="C7" i="3"/>
  <c r="C6" i="3"/>
  <c r="C5" i="3"/>
  <c r="C4" i="3"/>
  <c r="C3" i="3"/>
  <c r="I2" i="3"/>
  <c r="H2" i="3"/>
  <c r="G2" i="3"/>
  <c r="F2" i="3"/>
  <c r="E2" i="3"/>
  <c r="D2" i="3"/>
  <c r="C2" i="3"/>
  <c r="L10" i="3" l="1"/>
  <c r="L3" i="3"/>
  <c r="K3" i="3"/>
  <c r="K6" i="3"/>
  <c r="K8" i="3"/>
  <c r="K5" i="3"/>
  <c r="L4" i="3"/>
  <c r="L5" i="3"/>
  <c r="Q3" i="3"/>
  <c r="O5" i="3"/>
  <c r="M7" i="3"/>
  <c r="P8" i="3"/>
  <c r="P9" i="3"/>
  <c r="J11" i="3"/>
  <c r="N11" i="3"/>
  <c r="P12" i="3"/>
  <c r="L14" i="3"/>
  <c r="N15" i="3"/>
  <c r="P16" i="3"/>
  <c r="P17" i="3"/>
  <c r="L6" i="3"/>
  <c r="M4" i="3"/>
  <c r="P5" i="3"/>
  <c r="N7" i="3"/>
  <c r="Q8" i="3"/>
  <c r="Q9" i="3"/>
  <c r="K12" i="3"/>
  <c r="O11" i="3"/>
  <c r="Q12" i="3"/>
  <c r="M14" i="3"/>
  <c r="O15" i="3"/>
  <c r="Q16" i="3"/>
  <c r="Q17" i="3"/>
  <c r="L7" i="3"/>
  <c r="N4" i="3"/>
  <c r="Q5" i="3"/>
  <c r="O7" i="3"/>
  <c r="J9" i="3"/>
  <c r="K13" i="3"/>
  <c r="P11" i="3"/>
  <c r="L13" i="3"/>
  <c r="N14" i="3"/>
  <c r="P15" i="3"/>
  <c r="K17" i="3"/>
  <c r="L18" i="3"/>
  <c r="L8" i="3"/>
  <c r="O4" i="3"/>
  <c r="M6" i="3"/>
  <c r="P7" i="3"/>
  <c r="K10" i="3"/>
  <c r="M10" i="3"/>
  <c r="K14" i="3"/>
  <c r="Q11" i="3"/>
  <c r="M13" i="3"/>
  <c r="O14" i="3"/>
  <c r="Q15" i="3"/>
  <c r="K18" i="3"/>
  <c r="M18" i="3"/>
  <c r="K7" i="3"/>
  <c r="M3" i="3"/>
  <c r="P4" i="3"/>
  <c r="N6" i="3"/>
  <c r="Q7" i="3"/>
  <c r="L9" i="3"/>
  <c r="K15" i="3"/>
  <c r="L12" i="3"/>
  <c r="N13" i="3"/>
  <c r="P14" i="3"/>
  <c r="L16" i="3"/>
  <c r="L17" i="3"/>
  <c r="N18" i="3"/>
  <c r="N3" i="3"/>
  <c r="Q4" i="3"/>
  <c r="O6" i="3"/>
  <c r="M8" i="3"/>
  <c r="M9" i="3"/>
  <c r="O10" i="3"/>
  <c r="K16" i="3"/>
  <c r="M12" i="3"/>
  <c r="O13" i="3"/>
  <c r="Q14" i="3"/>
  <c r="M16" i="3"/>
  <c r="M17" i="3"/>
  <c r="O18" i="3"/>
  <c r="O3" i="3"/>
  <c r="M5" i="3"/>
  <c r="P6" i="3"/>
  <c r="N8" i="3"/>
  <c r="N9" i="3"/>
  <c r="P10" i="3"/>
  <c r="L11" i="3"/>
  <c r="N12" i="3"/>
  <c r="P13" i="3"/>
  <c r="L15" i="3"/>
  <c r="N16" i="3"/>
  <c r="N17" i="3"/>
  <c r="P18" i="3"/>
  <c r="P3" i="3"/>
  <c r="N5" i="3"/>
  <c r="Q6" i="3"/>
  <c r="O8" i="3"/>
  <c r="O9" i="3"/>
  <c r="Q10" i="3"/>
  <c r="M11" i="3"/>
  <c r="O12" i="3"/>
  <c r="Q13" i="3"/>
  <c r="M15" i="3"/>
  <c r="O16" i="3"/>
  <c r="O17" i="3"/>
  <c r="Q18" i="3"/>
  <c r="N10" i="3"/>
  <c r="K9" i="3"/>
  <c r="J18" i="3"/>
  <c r="J4" i="3"/>
  <c r="J17" i="3"/>
  <c r="K11" i="3"/>
  <c r="K4" i="3"/>
  <c r="J16" i="3"/>
  <c r="J15" i="3"/>
  <c r="J14" i="3"/>
  <c r="J13" i="3"/>
  <c r="J12" i="3"/>
  <c r="J10" i="3"/>
  <c r="J7" i="3"/>
  <c r="J8" i="3"/>
  <c r="J5" i="3"/>
  <c r="J6" i="3"/>
  <c r="J2" i="3"/>
  <c r="J3" i="3"/>
  <c r="R5" i="3" l="1"/>
  <c r="R6" i="3"/>
  <c r="R15" i="3"/>
  <c r="P2" i="3"/>
  <c r="R14" i="3"/>
  <c r="R16" i="3"/>
  <c r="R4" i="3"/>
  <c r="R8" i="3"/>
  <c r="R7" i="3"/>
  <c r="R18" i="3"/>
  <c r="R10" i="3"/>
  <c r="R17" i="3"/>
  <c r="R3" i="3"/>
  <c r="R12" i="3"/>
  <c r="R9" i="3"/>
  <c r="L2" i="3"/>
  <c r="R13" i="3"/>
  <c r="R11" i="3"/>
  <c r="Q2" i="3"/>
  <c r="O2" i="3"/>
  <c r="K2" i="3"/>
  <c r="N2" i="3"/>
  <c r="M2" i="3"/>
  <c r="R2" i="3" l="1"/>
</calcChain>
</file>

<file path=xl/comments1.xml><?xml version="1.0" encoding="utf-8"?>
<comments xmlns="http://schemas.openxmlformats.org/spreadsheetml/2006/main">
  <authors>
    <author>Author</author>
  </authors>
  <commentList>
    <comment ref="U75" authorId="0" shapeId="0">
      <text>
        <r>
          <rPr>
            <b/>
            <sz val="9"/>
            <color indexed="81"/>
            <rFont val="Tahoma"/>
            <family val="2"/>
          </rPr>
          <t>Author:</t>
        </r>
        <r>
          <rPr>
            <sz val="9"/>
            <color indexed="81"/>
            <rFont val="Tahoma"/>
            <family val="2"/>
          </rPr>
          <t xml:space="preserve">
"Whilst we have answered YES to questions above, we were already leading the way with our sustainability efforts and indigenous connections before T.C. Debbie. The months after we simply stepped up our efforts"</t>
        </r>
      </text>
    </comment>
    <comment ref="U80" authorId="0" shapeId="0">
      <text>
        <r>
          <rPr>
            <b/>
            <sz val="9"/>
            <color indexed="81"/>
            <rFont val="Tahoma"/>
            <family val="2"/>
          </rPr>
          <t>Author:</t>
        </r>
        <r>
          <rPr>
            <sz val="9"/>
            <color indexed="81"/>
            <rFont val="Tahoma"/>
            <family val="2"/>
          </rPr>
          <t xml:space="preserve">
manuel override excel code because operator selected 'other' as primary response but only responded using transformative change</t>
        </r>
      </text>
    </comment>
    <comment ref="U100" authorId="0" shapeId="0">
      <text>
        <r>
          <rPr>
            <b/>
            <sz val="9"/>
            <color indexed="81"/>
            <rFont val="Tahoma"/>
            <family val="2"/>
          </rPr>
          <t>Author:</t>
        </r>
        <r>
          <rPr>
            <sz val="9"/>
            <color indexed="81"/>
            <rFont val="Tahoma"/>
            <family val="2"/>
          </rPr>
          <t xml:space="preserve">
manuel override excel code because operator selected 'other' as primary response but that only included sending some photos of the bleaching</t>
        </r>
      </text>
    </comment>
    <comment ref="U102" authorId="0" shapeId="0">
      <text>
        <r>
          <rPr>
            <b/>
            <sz val="9"/>
            <color indexed="81"/>
            <rFont val="Tahoma"/>
            <family val="2"/>
          </rPr>
          <t>Author:</t>
        </r>
        <r>
          <rPr>
            <sz val="9"/>
            <color indexed="81"/>
            <rFont val="Tahoma"/>
            <family val="2"/>
          </rPr>
          <t xml:space="preserve">
manuel override excel code because operator didn’t select primary response but only responded using transformative change</t>
        </r>
      </text>
    </comment>
    <comment ref="U106" authorId="0" shapeId="0">
      <text>
        <r>
          <rPr>
            <b/>
            <sz val="9"/>
            <color indexed="81"/>
            <rFont val="Tahoma"/>
            <family val="2"/>
          </rPr>
          <t>Author:</t>
        </r>
        <r>
          <rPr>
            <sz val="9"/>
            <color indexed="81"/>
            <rFont val="Tahoma"/>
            <family val="2"/>
          </rPr>
          <t xml:space="preserve">
manuel override excel code because operator selected 'other' as primary response but that included mainly beginning of reef monitoring activities (see Powerpoint)</t>
        </r>
      </text>
    </comment>
    <comment ref="U115" authorId="0" shapeId="0">
      <text>
        <r>
          <rPr>
            <b/>
            <sz val="9"/>
            <color indexed="81"/>
            <rFont val="Tahoma"/>
            <family val="2"/>
          </rPr>
          <t>Author:</t>
        </r>
        <r>
          <rPr>
            <sz val="9"/>
            <color indexed="81"/>
            <rFont val="Tahoma"/>
            <family val="2"/>
          </rPr>
          <t xml:space="preserve">
manuel override excel code because operator selected 'other' as primary response but only responded using transformative change</t>
        </r>
      </text>
    </comment>
    <comment ref="U181" authorId="0" shapeId="0">
      <text>
        <r>
          <rPr>
            <b/>
            <sz val="9"/>
            <color indexed="81"/>
            <rFont val="Tahoma"/>
            <family val="2"/>
          </rPr>
          <t>Author:</t>
        </r>
        <r>
          <rPr>
            <sz val="9"/>
            <color indexed="81"/>
            <rFont val="Tahoma"/>
            <family val="2"/>
          </rPr>
          <t xml:space="preserve">
manually override ‘other’ as primary response to ‘nrm’ and ‘transformative’ because all their responses were in transformative category </t>
        </r>
      </text>
    </comment>
    <comment ref="U204" authorId="0" shapeId="0">
      <text>
        <r>
          <rPr>
            <b/>
            <sz val="9"/>
            <color indexed="81"/>
            <rFont val="Tahoma"/>
            <family val="2"/>
          </rPr>
          <t>Author:</t>
        </r>
        <r>
          <rPr>
            <sz val="9"/>
            <color indexed="81"/>
            <rFont val="Tahoma"/>
            <family val="2"/>
          </rPr>
          <t xml:space="preserve">
manually override from 'other' as primary response to 'none' because they mentioned they didn’t do anything within our timeframe
</t>
        </r>
      </text>
    </comment>
    <comment ref="U218" authorId="0" shapeId="0">
      <text>
        <r>
          <rPr>
            <b/>
            <sz val="9"/>
            <color indexed="81"/>
            <rFont val="Tahoma"/>
            <family val="2"/>
          </rPr>
          <t>Author:</t>
        </r>
        <r>
          <rPr>
            <sz val="9"/>
            <color indexed="81"/>
            <rFont val="Tahoma"/>
            <family val="2"/>
          </rPr>
          <t xml:space="preserve">
manually override ‘no primary response selected’ to ‘nrm’ because they responded by both adaptive and transformative action but mentioned in 'other' response that they helped planted coral seedlings as response</t>
        </r>
      </text>
    </comment>
  </commentList>
</comments>
</file>

<file path=xl/comments2.xml><?xml version="1.0" encoding="utf-8"?>
<comments xmlns="http://schemas.openxmlformats.org/spreadsheetml/2006/main">
  <authors>
    <author>Author</author>
  </authors>
  <commentList>
    <comment ref="B6" authorId="0" shapeId="0">
      <text>
        <r>
          <rPr>
            <b/>
            <sz val="9"/>
            <color indexed="81"/>
            <rFont val="Tahoma"/>
            <family val="2"/>
          </rPr>
          <t>Author:</t>
        </r>
        <r>
          <rPr>
            <sz val="9"/>
            <color indexed="81"/>
            <rFont val="Tahoma"/>
            <family val="2"/>
          </rPr>
          <t xml:space="preserve">
includes QLD and WA</t>
        </r>
      </text>
    </comment>
    <comment ref="E6" authorId="0" shapeId="0">
      <text>
        <r>
          <rPr>
            <b/>
            <sz val="9"/>
            <color indexed="81"/>
            <rFont val="Tahoma"/>
            <family val="2"/>
          </rPr>
          <t>Author:</t>
        </r>
        <r>
          <rPr>
            <sz val="9"/>
            <color indexed="81"/>
            <rFont val="Tahoma"/>
            <family val="2"/>
          </rPr>
          <t xml:space="preserve">
Includes diversifications to products/services outside of tourism</t>
        </r>
      </text>
    </comment>
    <comment ref="B7" authorId="0" shapeId="0">
      <text>
        <r>
          <rPr>
            <b/>
            <sz val="9"/>
            <color indexed="81"/>
            <rFont val="Tahoma"/>
            <family val="2"/>
          </rPr>
          <t>Author:</t>
        </r>
        <r>
          <rPr>
            <sz val="9"/>
            <color indexed="81"/>
            <rFont val="Tahoma"/>
            <family val="2"/>
          </rPr>
          <t xml:space="preserve">
includes Hawaii, Guam and Saipan</t>
        </r>
      </text>
    </comment>
    <comment ref="B8" authorId="0" shapeId="0">
      <text>
        <r>
          <rPr>
            <b/>
            <sz val="9"/>
            <color indexed="81"/>
            <rFont val="Tahoma"/>
            <family val="2"/>
          </rPr>
          <t>Author:</t>
        </r>
        <r>
          <rPr>
            <sz val="9"/>
            <color indexed="81"/>
            <rFont val="Tahoma"/>
            <family val="2"/>
          </rPr>
          <t xml:space="preserve">
includes Bali &amp; Gili</t>
        </r>
      </text>
    </comment>
    <comment ref="E9" authorId="0" shapeId="0">
      <text>
        <r>
          <rPr>
            <b/>
            <sz val="9"/>
            <color indexed="81"/>
            <rFont val="Tahoma"/>
            <family val="2"/>
          </rPr>
          <t>Author:</t>
        </r>
        <r>
          <rPr>
            <sz val="9"/>
            <color indexed="81"/>
            <rFont val="Tahoma"/>
            <family val="2"/>
          </rPr>
          <t xml:space="preserve">
Includes changes to logistics (for example the tour season), personnel, sales (for example a price change), or marketing</t>
        </r>
      </text>
    </comment>
    <comment ref="E10" authorId="0" shapeId="0">
      <text>
        <r>
          <rPr>
            <b/>
            <sz val="9"/>
            <color indexed="81"/>
            <rFont val="Tahoma"/>
            <family val="2"/>
          </rPr>
          <t>Author:</t>
        </r>
        <r>
          <rPr>
            <sz val="9"/>
            <color indexed="81"/>
            <rFont val="Tahoma"/>
            <family val="2"/>
          </rPr>
          <t xml:space="preserve">
includes enacting or participating in measures to improve the health of the coral reef (for example coral restoration) </t>
        </r>
      </text>
    </comment>
    <comment ref="B14" authorId="0" shapeId="0">
      <text>
        <r>
          <rPr>
            <b/>
            <sz val="9"/>
            <color indexed="81"/>
            <rFont val="Tahoma"/>
            <family val="2"/>
          </rPr>
          <t>Author:</t>
        </r>
        <r>
          <rPr>
            <sz val="9"/>
            <color indexed="81"/>
            <rFont val="Tahoma"/>
            <family val="2"/>
          </rPr>
          <t xml:space="preserve">
The World Bank, 2021. Worldwide Governance Indicators [WWW Document]. Governance. URL http://info.worldbank.org/governance/wgi/ (accessed 5.23.22)</t>
        </r>
      </text>
    </comment>
    <comment ref="E15" authorId="0" shapeId="0">
      <text>
        <r>
          <rPr>
            <b/>
            <sz val="9"/>
            <color indexed="81"/>
            <rFont val="Tahoma"/>
            <family val="2"/>
          </rPr>
          <t>Author:</t>
        </r>
        <r>
          <rPr>
            <sz val="9"/>
            <color indexed="81"/>
            <rFont val="Tahoma"/>
            <family val="2"/>
          </rPr>
          <t xml:space="preserve">
includes enacting or participating in measures to reduce carbon dioxide (CO2) emissions of your company, your customers or your community</t>
        </r>
      </text>
    </comment>
    <comment ref="E16" authorId="0" shapeId="0">
      <text>
        <r>
          <rPr>
            <b/>
            <sz val="9"/>
            <color indexed="81"/>
            <rFont val="Tahoma"/>
            <family val="2"/>
          </rPr>
          <t>Author:</t>
        </r>
        <r>
          <rPr>
            <sz val="9"/>
            <color indexed="81"/>
            <rFont val="Tahoma"/>
            <family val="2"/>
          </rPr>
          <t xml:space="preserve">
This was not included in the survey but mentioned by a number of operators under 'other' responses category</t>
        </r>
      </text>
    </comment>
    <comment ref="E19" authorId="0" shapeId="0">
      <text>
        <r>
          <rPr>
            <b/>
            <sz val="9"/>
            <color indexed="81"/>
            <rFont val="Tahoma"/>
            <family val="2"/>
          </rPr>
          <t>Author:</t>
        </r>
        <r>
          <rPr>
            <sz val="9"/>
            <color indexed="81"/>
            <rFont val="Tahoma"/>
            <family val="2"/>
          </rPr>
          <t xml:space="preserve">
Includes diversifications to products/services outside of tourism</t>
        </r>
      </text>
    </comment>
    <comment ref="E22" authorId="0" shapeId="0">
      <text>
        <r>
          <rPr>
            <b/>
            <sz val="9"/>
            <color indexed="81"/>
            <rFont val="Tahoma"/>
            <family val="2"/>
          </rPr>
          <t>Author:</t>
        </r>
        <r>
          <rPr>
            <sz val="9"/>
            <color indexed="81"/>
            <rFont val="Tahoma"/>
            <family val="2"/>
          </rPr>
          <t xml:space="preserve">
Includes changes to logistics (for example the tour season), personnel, sales (for example a price change), or marketing</t>
        </r>
      </text>
    </comment>
    <comment ref="E23" authorId="0" shapeId="0">
      <text>
        <r>
          <rPr>
            <b/>
            <sz val="9"/>
            <color indexed="81"/>
            <rFont val="Tahoma"/>
            <family val="2"/>
          </rPr>
          <t>Author:</t>
        </r>
        <r>
          <rPr>
            <sz val="9"/>
            <color indexed="81"/>
            <rFont val="Tahoma"/>
            <family val="2"/>
          </rPr>
          <t xml:space="preserve">
includes enacting or participating in measures to improve the health of the coral reef (for example coral restoration) </t>
        </r>
      </text>
    </comment>
    <comment ref="E26" authorId="0" shapeId="0">
      <text>
        <r>
          <rPr>
            <b/>
            <sz val="9"/>
            <color indexed="81"/>
            <rFont val="Tahoma"/>
            <family val="2"/>
          </rPr>
          <t>Author:</t>
        </r>
        <r>
          <rPr>
            <sz val="9"/>
            <color indexed="81"/>
            <rFont val="Tahoma"/>
            <family val="2"/>
          </rPr>
          <t xml:space="preserve">
Includes selling property (for example boats, equipment, office); reducing workforce or relying on savings and seeking support from government, local community and/or relatives</t>
        </r>
      </text>
    </comment>
    <comment ref="E27" authorId="0" shapeId="0">
      <text>
        <r>
          <rPr>
            <b/>
            <sz val="9"/>
            <color indexed="81"/>
            <rFont val="Tahoma"/>
            <family val="2"/>
          </rPr>
          <t>Author:</t>
        </r>
        <r>
          <rPr>
            <sz val="9"/>
            <color indexed="81"/>
            <rFont val="Tahoma"/>
            <family val="2"/>
          </rPr>
          <t xml:space="preserve">
includes enacting or participating in measures to reduce carbon dioxide (CO2) emissions of your company, your customers or your community</t>
        </r>
      </text>
    </comment>
    <comment ref="H42" authorId="0" shapeId="0">
      <text>
        <r>
          <rPr>
            <b/>
            <sz val="9"/>
            <color indexed="81"/>
            <rFont val="Tahoma"/>
            <family val="2"/>
          </rPr>
          <t>Author:</t>
        </r>
        <r>
          <rPr>
            <sz val="9"/>
            <color indexed="81"/>
            <rFont val="Tahoma"/>
            <family val="2"/>
          </rPr>
          <t xml:space="preserve">
for example accommodation, equipment sales, first aid training, reef monitoring, etc.</t>
        </r>
      </text>
    </comment>
  </commentList>
</comments>
</file>

<file path=xl/sharedStrings.xml><?xml version="1.0" encoding="utf-8"?>
<sst xmlns="http://schemas.openxmlformats.org/spreadsheetml/2006/main" count="1198" uniqueCount="186">
  <si>
    <t>&gt;20</t>
  </si>
  <si>
    <t>5 to 10</t>
  </si>
  <si>
    <t>10 to 20</t>
  </si>
  <si>
    <t>0 to 2</t>
  </si>
  <si>
    <t>None</t>
  </si>
  <si>
    <t>&gt;10</t>
  </si>
  <si>
    <t>0 to 10</t>
  </si>
  <si>
    <t>20 to 50</t>
  </si>
  <si>
    <t>2 to 5</t>
  </si>
  <si>
    <t>location</t>
  </si>
  <si>
    <t>disturbance_type</t>
  </si>
  <si>
    <t>divbl</t>
  </si>
  <si>
    <t>nrm</t>
  </si>
  <si>
    <t>relief</t>
  </si>
  <si>
    <t>co2</t>
  </si>
  <si>
    <t>Participation in management</t>
  </si>
  <si>
    <t>50 to 100</t>
  </si>
  <si>
    <t>100 to 200</t>
  </si>
  <si>
    <t>200 to 300</t>
  </si>
  <si>
    <t>300 to 400</t>
  </si>
  <si>
    <t>400 to 500</t>
  </si>
  <si>
    <t>&gt;500</t>
  </si>
  <si>
    <t>0 to 3 months</t>
  </si>
  <si>
    <t>Savings (months of covering operating costs)</t>
  </si>
  <si>
    <t>3 to 6 months</t>
  </si>
  <si>
    <t>6 to 12 months</t>
  </si>
  <si>
    <t>&gt;12 months</t>
  </si>
  <si>
    <t>code</t>
  </si>
  <si>
    <t>Variable / category</t>
  </si>
  <si>
    <t>savings</t>
  </si>
  <si>
    <t>Number of accessible dive / snorkel sites</t>
  </si>
  <si>
    <t>employee involvement in decision making</t>
  </si>
  <si>
    <t>passively</t>
  </si>
  <si>
    <t>moderately</t>
  </si>
  <si>
    <t>highly</t>
  </si>
  <si>
    <t>experience</t>
  </si>
  <si>
    <t xml:space="preserve">0 to 2 </t>
  </si>
  <si>
    <t>GM: Reef tourism industry experience (yr)</t>
  </si>
  <si>
    <t>ind_memberships</t>
  </si>
  <si>
    <t>Reliance on research institutes in decision making</t>
  </si>
  <si>
    <t>low</t>
  </si>
  <si>
    <t>moderate</t>
  </si>
  <si>
    <t>none</t>
  </si>
  <si>
    <t>high</t>
  </si>
  <si>
    <t>Exclusivity of access to reef sites</t>
  </si>
  <si>
    <t>secondary school</t>
  </si>
  <si>
    <t>GM: education level</t>
  </si>
  <si>
    <t>trade</t>
  </si>
  <si>
    <t>graduate</t>
  </si>
  <si>
    <t>postgraduate</t>
  </si>
  <si>
    <t>govt_ties</t>
  </si>
  <si>
    <t>Ties to government and policy makers</t>
  </si>
  <si>
    <t>weak</t>
  </si>
  <si>
    <t>strong</t>
  </si>
  <si>
    <t>reef_attach</t>
  </si>
  <si>
    <t>Importance of reef sites in company's identity</t>
  </si>
  <si>
    <t>not at all</t>
  </si>
  <si>
    <t>somewhat</t>
  </si>
  <si>
    <t>major</t>
  </si>
  <si>
    <t>Confidence of ability company to adapt to disturbance</t>
  </si>
  <si>
    <t>comp_concerns</t>
  </si>
  <si>
    <t>Adaptive capacity indicators</t>
  </si>
  <si>
    <t>Control factors</t>
  </si>
  <si>
    <t>French Polynesia</t>
  </si>
  <si>
    <t>fp</t>
  </si>
  <si>
    <t>Australia</t>
  </si>
  <si>
    <t>au</t>
  </si>
  <si>
    <t>USA</t>
  </si>
  <si>
    <t>us</t>
  </si>
  <si>
    <t>Indonesia</t>
  </si>
  <si>
    <t>id</t>
  </si>
  <si>
    <t>#</t>
  </si>
  <si>
    <t>Cyclone</t>
  </si>
  <si>
    <t>None of reef sites had more than a third of area affected</t>
  </si>
  <si>
    <t>25% of reef sites had more than a third of area affected</t>
  </si>
  <si>
    <t>50% of reef sites had more than a third of area affected</t>
  </si>
  <si>
    <t>75% of reef sites had more than a third of area affected</t>
  </si>
  <si>
    <t>All of reef sites had more than a third of area affected</t>
  </si>
  <si>
    <t>responses</t>
  </si>
  <si>
    <t>Diversification between livelihoods</t>
  </si>
  <si>
    <t>Changes in mode of operating</t>
  </si>
  <si>
    <t>Natural resource management</t>
  </si>
  <si>
    <t>Relief measures</t>
  </si>
  <si>
    <t>Carbon emission reductions</t>
  </si>
  <si>
    <t>Most important response to disturbance</t>
  </si>
  <si>
    <t>Adaptive behavior</t>
  </si>
  <si>
    <t>Number of boats (measured in passenger seats)</t>
  </si>
  <si>
    <t xml:space="preserve">distance to market (nearest airport) in km </t>
  </si>
  <si>
    <t>Services sold other than tourism activities</t>
  </si>
  <si>
    <t>Memberships in tourism industry associations</t>
  </si>
  <si>
    <t>No membership in tourism industry association</t>
  </si>
  <si>
    <t>Membership in 2 tourism industry association</t>
  </si>
  <si>
    <t>Membership in 1 tourism industry association</t>
  </si>
  <si>
    <t>Membership in 3 or more tourism industry association</t>
  </si>
  <si>
    <t>Number of competing concerns with higher prio than disturbance</t>
  </si>
  <si>
    <t>1 -2 concerns with higher priority</t>
  </si>
  <si>
    <t>3 -4 concerns with higher priority</t>
  </si>
  <si>
    <t>5 or more concerns with higher priority</t>
  </si>
  <si>
    <t>adapt_conf</t>
  </si>
  <si>
    <t>Change of reef sites visited on tours</t>
  </si>
  <si>
    <t>Change of types of tours and activities offered</t>
  </si>
  <si>
    <t>insurance</t>
  </si>
  <si>
    <t>monitor</t>
  </si>
  <si>
    <t>Seek protection from risks (for example insurance)</t>
  </si>
  <si>
    <t xml:space="preserve">Beginning monitoring climate and/or reef conditions </t>
  </si>
  <si>
    <t>Other: Education of visitors about climate impacts</t>
  </si>
  <si>
    <t>educate</t>
  </si>
  <si>
    <t>No response to climate impacts</t>
  </si>
  <si>
    <t>Sell property, reduce workforce or rely on savings</t>
  </si>
  <si>
    <t>Seek support from government, community or relatives</t>
  </si>
  <si>
    <t>support</t>
  </si>
  <si>
    <t>resp_age</t>
  </si>
  <si>
    <t>respondent nationality</t>
  </si>
  <si>
    <t>respondent age</t>
  </si>
  <si>
    <t>aus</t>
  </si>
  <si>
    <t>35 - 44</t>
  </si>
  <si>
    <t>65+</t>
  </si>
  <si>
    <t>45 - 54</t>
  </si>
  <si>
    <t>55 - 64</t>
  </si>
  <si>
    <t>respondent gender</t>
  </si>
  <si>
    <t>female</t>
  </si>
  <si>
    <t>25 - 34</t>
  </si>
  <si>
    <t>male</t>
  </si>
  <si>
    <t>18 - 24</t>
  </si>
  <si>
    <t>jpn</t>
  </si>
  <si>
    <t>idn</t>
  </si>
  <si>
    <t>Something else</t>
  </si>
  <si>
    <t>jp</t>
  </si>
  <si>
    <t>Japan</t>
  </si>
  <si>
    <t>resp_nation</t>
  </si>
  <si>
    <t>resp_gender</t>
  </si>
  <si>
    <t>dist_severity</t>
  </si>
  <si>
    <t>dist_type</t>
  </si>
  <si>
    <t>chgsites</t>
  </si>
  <si>
    <t>chgact</t>
  </si>
  <si>
    <t>chgopmode</t>
  </si>
  <si>
    <t>topresponse</t>
  </si>
  <si>
    <t>other</t>
  </si>
  <si>
    <t>exclaccess</t>
  </si>
  <si>
    <t>particmgmt_tourism / particmgmt_coral</t>
  </si>
  <si>
    <t>particmgmt_tourism</t>
  </si>
  <si>
    <t>particmgmt_coral</t>
  </si>
  <si>
    <t>psgseats</t>
  </si>
  <si>
    <t>distmarket</t>
  </si>
  <si>
    <t>othservices</t>
  </si>
  <si>
    <t>accsites</t>
  </si>
  <si>
    <t>edu</t>
  </si>
  <si>
    <t>employ_involve</t>
  </si>
  <si>
    <t>research_rely</t>
  </si>
  <si>
    <t>resp_region</t>
  </si>
  <si>
    <t>eur</t>
  </si>
  <si>
    <t>nam</t>
  </si>
  <si>
    <t>othservices_count</t>
  </si>
  <si>
    <t># other services than tourism activities</t>
  </si>
  <si>
    <t>Passive attendance (e.g. attended meetings but did not speak up)</t>
  </si>
  <si>
    <t>Active participation (e.g. speak up in meetings, formal position)</t>
  </si>
  <si>
    <t>distmarket2</t>
  </si>
  <si>
    <t>Distance to market ordinal</t>
  </si>
  <si>
    <t>0 to 30 km</t>
  </si>
  <si>
    <t>fj</t>
  </si>
  <si>
    <t>mi</t>
  </si>
  <si>
    <t>hi</t>
  </si>
  <si>
    <t>31 to 60 km</t>
  </si>
  <si>
    <t>61 to 90 km</t>
  </si>
  <si>
    <t>91 to 120 km</t>
  </si>
  <si>
    <t>121 to 150 km</t>
  </si>
  <si>
    <t>Open (accessed same reef sites as everyone else)</t>
  </si>
  <si>
    <t>Limited (accessed sites that were shared with only a few other operators)</t>
  </si>
  <si>
    <t>Exclusive (accessed sites where no one else was able to go)</t>
  </si>
  <si>
    <t>Power (had a formal position / power over decision-making)</t>
  </si>
  <si>
    <t>gov_effect</t>
  </si>
  <si>
    <t xml:space="preserve">Bleaching </t>
  </si>
  <si>
    <t>respondents</t>
  </si>
  <si>
    <t>total</t>
  </si>
  <si>
    <t>nationality</t>
  </si>
  <si>
    <t>gender</t>
  </si>
  <si>
    <t>age</t>
  </si>
  <si>
    <t>disturbance</t>
  </si>
  <si>
    <t>severity</t>
  </si>
  <si>
    <t>µ</t>
  </si>
  <si>
    <t>σ</t>
  </si>
  <si>
    <t>distance to market</t>
  </si>
  <si>
    <t>Bleaching</t>
  </si>
  <si>
    <t>operator</t>
  </si>
  <si>
    <t>Government effectiveness</t>
  </si>
  <si>
    <t>Level of institutional development in the country where reef operator is based (Kaufmann et al., 2011; The World Bank, 2021): We used data from the year 2014 for all countries because the first climate disturbance we studied occurred in 2014 in the Hawaiian Islands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</si>
</sst>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
  </numFmts>
  <fonts count="7" x14ac:knownFonts="1">
    <font>
      <sz val="11"/>
      <color theme="1"/>
      <name val="Calibri"/>
      <family val="2"/>
      <scheme val="minor"/>
    </font>
    <font>
      <b/>
      <sz val="11"/>
      <color theme="1"/>
      <name val="Calibri"/>
      <family val="2"/>
      <scheme val="minor"/>
    </font>
    <font>
      <b/>
      <i/>
      <sz val="11"/>
      <color theme="1"/>
      <name val="Calibri"/>
      <family val="2"/>
      <scheme val="minor"/>
    </font>
    <font>
      <sz val="11"/>
      <name val="Calibri"/>
      <family val="2"/>
      <scheme val="minor"/>
    </font>
    <font>
      <sz val="9"/>
      <color indexed="81"/>
      <name val="Tahoma"/>
      <family val="2"/>
    </font>
    <font>
      <b/>
      <sz val="9"/>
      <color indexed="81"/>
      <name val="Tahoma"/>
      <family val="2"/>
    </font>
    <font>
      <sz val="11"/>
      <color theme="1"/>
      <name val="Calibri"/>
      <family val="2"/>
    </font>
  </fonts>
  <fills count="2">
    <fill>
      <patternFill patternType="none"/>
    </fill>
    <fill>
      <patternFill patternType="gray125"/>
    </fill>
  </fills>
  <borders count="1">
    <border>
      <left/>
      <right/>
      <top/>
      <bottom/>
      <diagonal/>
    </border>
  </borders>
  <cellStyleXfs count="1">
    <xf numFmtId="0" fontId="0" fillId="0" borderId="0"/>
  </cellStyleXfs>
  <cellXfs count="33">
    <xf numFmtId="0" fontId="0" fillId="0" borderId="0" xfId="0"/>
    <xf numFmtId="9" fontId="0" fillId="0" borderId="0" xfId="0" applyNumberFormat="1"/>
    <xf numFmtId="16" fontId="0" fillId="0" borderId="0" xfId="0" applyNumberFormat="1"/>
    <xf numFmtId="1" fontId="0" fillId="0" borderId="0" xfId="0" applyNumberFormat="1"/>
    <xf numFmtId="0" fontId="1" fillId="0" borderId="0" xfId="0" applyFont="1"/>
    <xf numFmtId="1" fontId="1" fillId="0" borderId="0" xfId="0" applyNumberFormat="1" applyFont="1"/>
    <xf numFmtId="1" fontId="0" fillId="0" borderId="0" xfId="0" applyNumberFormat="1" applyFill="1"/>
    <xf numFmtId="0" fontId="2" fillId="0" borderId="0" xfId="0" applyFont="1"/>
    <xf numFmtId="16" fontId="2" fillId="0" borderId="0" xfId="0" applyNumberFormat="1" applyFont="1"/>
    <xf numFmtId="1" fontId="3" fillId="0" borderId="0" xfId="0" applyNumberFormat="1" applyFont="1"/>
    <xf numFmtId="0" fontId="0" fillId="0" borderId="0" xfId="0" applyFont="1"/>
    <xf numFmtId="0" fontId="3" fillId="0" borderId="0" xfId="0" applyFont="1"/>
    <xf numFmtId="164" fontId="0" fillId="0" borderId="0" xfId="0" applyNumberFormat="1"/>
    <xf numFmtId="0" fontId="1" fillId="0" borderId="0" xfId="0" applyFont="1" applyAlignment="1">
      <alignment horizontal="center"/>
    </xf>
    <xf numFmtId="0" fontId="0" fillId="0" borderId="0" xfId="0" applyFill="1"/>
    <xf numFmtId="1" fontId="0" fillId="0" borderId="0" xfId="0" applyNumberFormat="1" applyFont="1"/>
    <xf numFmtId="16" fontId="1" fillId="0" borderId="0" xfId="0" applyNumberFormat="1" applyFont="1"/>
    <xf numFmtId="2" fontId="0" fillId="0" borderId="0" xfId="0" applyNumberFormat="1" applyFill="1"/>
    <xf numFmtId="0" fontId="1" fillId="0" borderId="0" xfId="0" applyFont="1" applyFill="1"/>
    <xf numFmtId="9" fontId="0" fillId="0" borderId="0" xfId="0" applyNumberFormat="1" applyFill="1"/>
    <xf numFmtId="1" fontId="0" fillId="0" borderId="0" xfId="0" applyNumberFormat="1" applyFont="1" applyFill="1"/>
    <xf numFmtId="1" fontId="1" fillId="0" borderId="0" xfId="0" applyNumberFormat="1" applyFont="1" applyFill="1"/>
    <xf numFmtId="1" fontId="3" fillId="0" borderId="0" xfId="0" applyNumberFormat="1" applyFont="1" applyFill="1"/>
    <xf numFmtId="9" fontId="1" fillId="0" borderId="0" xfId="0" applyNumberFormat="1" applyFont="1" applyFill="1"/>
    <xf numFmtId="2" fontId="1" fillId="0" borderId="0" xfId="0" applyNumberFormat="1" applyFont="1" applyFill="1"/>
    <xf numFmtId="2" fontId="0" fillId="0" borderId="0" xfId="0" applyNumberFormat="1"/>
    <xf numFmtId="2" fontId="1" fillId="0" borderId="0" xfId="0" applyNumberFormat="1" applyFont="1"/>
    <xf numFmtId="2" fontId="0" fillId="0" borderId="0" xfId="0" applyNumberFormat="1" applyFont="1"/>
    <xf numFmtId="0" fontId="0" fillId="0" borderId="0" xfId="0" applyFont="1" applyFill="1"/>
    <xf numFmtId="0" fontId="3" fillId="0" borderId="0" xfId="0" applyFont="1" applyFill="1"/>
    <xf numFmtId="9" fontId="1" fillId="0" borderId="0" xfId="0" applyNumberFormat="1" applyFont="1"/>
    <xf numFmtId="0" fontId="6" fillId="0" borderId="0" xfId="0" applyFont="1"/>
    <xf numFmtId="0" fontId="1" fillId="0" borderId="0" xfId="0" applyFont="1" applyAlignment="1">
      <alignment horizont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L235"/>
  <sheetViews>
    <sheetView tabSelected="1" zoomScaleNormal="100" workbookViewId="0">
      <pane ySplit="1" topLeftCell="A2" activePane="bottomLeft" state="frozen"/>
      <selection pane="bottomLeft" activeCell="R233" sqref="R233:R234"/>
    </sheetView>
  </sheetViews>
  <sheetFormatPr defaultRowHeight="14.5" x14ac:dyDescent="0.35"/>
  <cols>
    <col min="1" max="1" width="10.7265625" bestFit="1" customWidth="1"/>
    <col min="2" max="2" width="8.1796875" bestFit="1" customWidth="1"/>
    <col min="3" max="3" width="10.453125" bestFit="1" customWidth="1"/>
    <col min="4" max="4" width="11.54296875" bestFit="1" customWidth="1"/>
    <col min="5" max="5" width="9" bestFit="1" customWidth="1"/>
    <col min="6" max="6" width="11.26953125" bestFit="1" customWidth="1"/>
    <col min="7" max="7" width="9.54296875" bestFit="1" customWidth="1"/>
    <col min="8" max="8" width="12.453125" style="25" bestFit="1" customWidth="1"/>
    <col min="9" max="9" width="14.54296875" style="3" customWidth="1"/>
    <col min="10" max="10" width="7.7265625" style="3" bestFit="1" customWidth="1"/>
    <col min="11" max="11" width="6.453125" style="3" bestFit="1" customWidth="1"/>
    <col min="12" max="12" width="10.81640625" style="3" bestFit="1" customWidth="1"/>
    <col min="13" max="13" width="10.453125" style="3" bestFit="1" customWidth="1"/>
    <col min="14" max="14" width="9" style="3" bestFit="1" customWidth="1"/>
    <col min="15" max="15" width="7.7265625" style="3" bestFit="1" customWidth="1"/>
    <col min="16" max="16" width="7.7265625" style="3" customWidth="1"/>
    <col min="17" max="17" width="7.54296875" style="3" bestFit="1" customWidth="1"/>
    <col min="18" max="18" width="7.453125" style="3" customWidth="1"/>
    <col min="19" max="19" width="7.7265625" style="3" bestFit="1" customWidth="1"/>
    <col min="20" max="20" width="5.54296875" style="3" bestFit="1" customWidth="1"/>
    <col min="21" max="21" width="12.1796875" bestFit="1" customWidth="1"/>
    <col min="22" max="22" width="11.81640625" style="6" customWidth="1"/>
    <col min="23" max="23" width="19.26953125" style="6" bestFit="1" customWidth="1"/>
    <col min="24" max="24" width="16.54296875" style="6" bestFit="1" customWidth="1"/>
    <col min="25" max="25" width="8.54296875" bestFit="1" customWidth="1"/>
    <col min="26" max="26" width="7.453125" style="6" bestFit="1" customWidth="1"/>
    <col min="27" max="27" width="10.54296875" bestFit="1" customWidth="1"/>
    <col min="28" max="28" width="10.26953125" bestFit="1" customWidth="1"/>
    <col min="29" max="29" width="7.26953125" bestFit="1" customWidth="1"/>
    <col min="30" max="30" width="7.453125" style="6" customWidth="1"/>
    <col min="31" max="31" width="11" bestFit="1" customWidth="1"/>
    <col min="32" max="32" width="14" bestFit="1" customWidth="1"/>
    <col min="33" max="33" width="15.81640625" style="14" bestFit="1" customWidth="1"/>
    <col min="34" max="34" width="12.1796875" bestFit="1" customWidth="1"/>
    <col min="35" max="35" width="9.1796875" bestFit="1" customWidth="1"/>
    <col min="36" max="36" width="11.1796875" bestFit="1" customWidth="1"/>
    <col min="37" max="37" width="14" customWidth="1"/>
    <col min="38" max="38" width="10.81640625" bestFit="1" customWidth="1"/>
  </cols>
  <sheetData>
    <row r="1" spans="1:38" x14ac:dyDescent="0.35">
      <c r="A1" s="4" t="s">
        <v>183</v>
      </c>
      <c r="B1" s="4" t="s">
        <v>9</v>
      </c>
      <c r="C1" s="24" t="s">
        <v>170</v>
      </c>
      <c r="D1" s="4" t="s">
        <v>149</v>
      </c>
      <c r="E1" s="4" t="s">
        <v>111</v>
      </c>
      <c r="F1" s="4" t="s">
        <v>130</v>
      </c>
      <c r="G1" s="4" t="s">
        <v>132</v>
      </c>
      <c r="H1" s="26" t="s">
        <v>131</v>
      </c>
      <c r="I1" s="5" t="s">
        <v>11</v>
      </c>
      <c r="J1" s="5" t="s">
        <v>133</v>
      </c>
      <c r="K1" s="5" t="s">
        <v>134</v>
      </c>
      <c r="L1" s="5" t="s">
        <v>135</v>
      </c>
      <c r="M1" s="5" t="s">
        <v>12</v>
      </c>
      <c r="N1" s="5" t="s">
        <v>101</v>
      </c>
      <c r="O1" s="5" t="s">
        <v>102</v>
      </c>
      <c r="P1" s="5" t="s">
        <v>13</v>
      </c>
      <c r="Q1" s="5" t="s">
        <v>110</v>
      </c>
      <c r="R1" s="5" t="s">
        <v>14</v>
      </c>
      <c r="S1" s="5" t="s">
        <v>106</v>
      </c>
      <c r="T1" s="5" t="s">
        <v>42</v>
      </c>
      <c r="U1" s="4" t="s">
        <v>136</v>
      </c>
      <c r="V1" s="21" t="s">
        <v>138</v>
      </c>
      <c r="W1" s="21" t="s">
        <v>140</v>
      </c>
      <c r="X1" s="21" t="s">
        <v>141</v>
      </c>
      <c r="Y1" s="4" t="s">
        <v>142</v>
      </c>
      <c r="Z1" s="21" t="s">
        <v>29</v>
      </c>
      <c r="AA1" s="4" t="s">
        <v>143</v>
      </c>
      <c r="AB1" s="4" t="s">
        <v>144</v>
      </c>
      <c r="AC1" s="4" t="s">
        <v>145</v>
      </c>
      <c r="AD1" s="21" t="s">
        <v>146</v>
      </c>
      <c r="AE1" s="4" t="s">
        <v>35</v>
      </c>
      <c r="AF1" s="4" t="s">
        <v>147</v>
      </c>
      <c r="AG1" s="18" t="s">
        <v>38</v>
      </c>
      <c r="AH1" s="4" t="s">
        <v>148</v>
      </c>
      <c r="AI1" s="4" t="s">
        <v>50</v>
      </c>
      <c r="AJ1" s="4" t="s">
        <v>54</v>
      </c>
      <c r="AK1" s="4" t="s">
        <v>60</v>
      </c>
      <c r="AL1" s="4" t="s">
        <v>98</v>
      </c>
    </row>
    <row r="2" spans="1:38" s="14" customFormat="1" x14ac:dyDescent="0.35">
      <c r="A2" s="14">
        <v>1</v>
      </c>
      <c r="B2" s="14" t="s">
        <v>70</v>
      </c>
      <c r="C2" s="14">
        <v>-0.04</v>
      </c>
      <c r="D2" s="14" t="s">
        <v>150</v>
      </c>
      <c r="E2" s="14" t="s">
        <v>117</v>
      </c>
      <c r="F2" s="14">
        <v>1</v>
      </c>
      <c r="G2" s="14">
        <v>0</v>
      </c>
      <c r="H2" s="17">
        <v>0</v>
      </c>
      <c r="I2" s="6">
        <v>0</v>
      </c>
      <c r="J2" s="6">
        <v>0</v>
      </c>
      <c r="K2" s="6">
        <v>0</v>
      </c>
      <c r="L2" s="6">
        <v>0</v>
      </c>
      <c r="M2" s="6">
        <v>1</v>
      </c>
      <c r="N2" s="6">
        <v>0</v>
      </c>
      <c r="O2" s="6">
        <v>1</v>
      </c>
      <c r="P2" s="6">
        <v>0</v>
      </c>
      <c r="Q2" s="6">
        <v>0</v>
      </c>
      <c r="R2" s="6">
        <v>0</v>
      </c>
      <c r="S2" s="6">
        <v>0</v>
      </c>
      <c r="T2" s="6">
        <f t="shared" ref="T2:T65" si="0">IF(SUM(I2:S2)=0,1,0)</f>
        <v>0</v>
      </c>
      <c r="U2" s="14" t="s">
        <v>102</v>
      </c>
      <c r="V2" s="6">
        <v>1</v>
      </c>
      <c r="W2" s="6">
        <v>1</v>
      </c>
      <c r="X2" s="6">
        <v>1</v>
      </c>
      <c r="Y2" s="14">
        <v>1</v>
      </c>
      <c r="Z2" s="6">
        <v>2</v>
      </c>
      <c r="AA2" s="14">
        <v>90</v>
      </c>
      <c r="AB2" s="22">
        <v>2</v>
      </c>
      <c r="AC2" s="14">
        <v>4</v>
      </c>
      <c r="AD2" s="22">
        <v>3</v>
      </c>
      <c r="AE2" s="14">
        <v>3</v>
      </c>
      <c r="AF2" s="14">
        <v>2</v>
      </c>
      <c r="AG2" s="14">
        <v>1</v>
      </c>
      <c r="AH2" s="6">
        <v>1</v>
      </c>
      <c r="AI2" s="14">
        <v>2</v>
      </c>
      <c r="AJ2" s="6">
        <v>1</v>
      </c>
      <c r="AK2" s="28">
        <v>1</v>
      </c>
      <c r="AL2" s="6">
        <v>2</v>
      </c>
    </row>
    <row r="3" spans="1:38" s="14" customFormat="1" x14ac:dyDescent="0.35">
      <c r="A3" s="14">
        <v>2</v>
      </c>
      <c r="B3" s="14" t="s">
        <v>70</v>
      </c>
      <c r="C3" s="14">
        <v>-0.04</v>
      </c>
      <c r="D3" s="14" t="s">
        <v>150</v>
      </c>
      <c r="E3" s="14" t="s">
        <v>115</v>
      </c>
      <c r="F3" s="14">
        <v>0</v>
      </c>
      <c r="G3" s="14">
        <v>0</v>
      </c>
      <c r="H3" s="17">
        <v>0.75</v>
      </c>
      <c r="I3" s="6">
        <v>1</v>
      </c>
      <c r="J3" s="6">
        <v>1</v>
      </c>
      <c r="K3" s="6">
        <v>0</v>
      </c>
      <c r="L3" s="6">
        <v>1</v>
      </c>
      <c r="M3" s="6">
        <v>1</v>
      </c>
      <c r="N3" s="6">
        <v>0</v>
      </c>
      <c r="O3" s="6">
        <v>1</v>
      </c>
      <c r="P3" s="6">
        <v>0</v>
      </c>
      <c r="Q3" s="6">
        <v>1</v>
      </c>
      <c r="R3" s="6">
        <v>1</v>
      </c>
      <c r="S3" s="6">
        <v>0</v>
      </c>
      <c r="T3" s="6">
        <f t="shared" si="0"/>
        <v>0</v>
      </c>
      <c r="U3" s="14" t="s">
        <v>102</v>
      </c>
      <c r="V3" s="6">
        <v>0</v>
      </c>
      <c r="W3" s="6">
        <v>2</v>
      </c>
      <c r="X3" s="6">
        <v>2</v>
      </c>
      <c r="Y3" s="14">
        <v>1</v>
      </c>
      <c r="Z3" s="6">
        <v>3</v>
      </c>
      <c r="AA3" s="14">
        <v>90</v>
      </c>
      <c r="AB3" s="22">
        <v>3</v>
      </c>
      <c r="AC3" s="14">
        <v>5</v>
      </c>
      <c r="AD3" s="22">
        <v>4</v>
      </c>
      <c r="AE3" s="14">
        <v>3</v>
      </c>
      <c r="AF3" s="6">
        <v>3</v>
      </c>
      <c r="AG3" s="14">
        <v>1</v>
      </c>
      <c r="AH3" s="6">
        <v>2</v>
      </c>
      <c r="AI3" s="14">
        <v>1</v>
      </c>
      <c r="AJ3" s="6">
        <v>2</v>
      </c>
      <c r="AK3" s="14">
        <v>0</v>
      </c>
      <c r="AL3" s="6">
        <v>2</v>
      </c>
    </row>
    <row r="4" spans="1:38" x14ac:dyDescent="0.35">
      <c r="A4">
        <v>3</v>
      </c>
      <c r="B4" t="s">
        <v>70</v>
      </c>
      <c r="C4">
        <v>-0.04</v>
      </c>
      <c r="D4" t="s">
        <v>137</v>
      </c>
      <c r="E4" t="s">
        <v>115</v>
      </c>
      <c r="F4">
        <v>1</v>
      </c>
      <c r="G4">
        <v>0</v>
      </c>
      <c r="H4" s="25">
        <v>0.5</v>
      </c>
      <c r="I4" s="3">
        <v>0</v>
      </c>
      <c r="J4" s="6">
        <v>0</v>
      </c>
      <c r="K4" s="6">
        <v>0</v>
      </c>
      <c r="L4" s="3">
        <v>0</v>
      </c>
      <c r="M4" s="3">
        <v>0</v>
      </c>
      <c r="N4" s="3">
        <v>0</v>
      </c>
      <c r="O4" s="3">
        <v>0</v>
      </c>
      <c r="P4" s="3">
        <v>0</v>
      </c>
      <c r="Q4" s="3">
        <v>0</v>
      </c>
      <c r="R4" s="3">
        <v>0</v>
      </c>
      <c r="S4" s="6">
        <v>0</v>
      </c>
      <c r="T4" s="6">
        <f t="shared" si="0"/>
        <v>1</v>
      </c>
      <c r="U4" t="s">
        <v>42</v>
      </c>
      <c r="V4" s="6">
        <v>0</v>
      </c>
      <c r="W4" s="6">
        <v>1</v>
      </c>
      <c r="X4" s="6">
        <v>1</v>
      </c>
      <c r="Y4">
        <v>1</v>
      </c>
      <c r="Z4" s="6">
        <v>2</v>
      </c>
      <c r="AA4">
        <v>60</v>
      </c>
      <c r="AB4">
        <v>0</v>
      </c>
      <c r="AC4">
        <v>3</v>
      </c>
      <c r="AD4" s="22">
        <v>3</v>
      </c>
      <c r="AE4">
        <v>1</v>
      </c>
      <c r="AF4">
        <v>3</v>
      </c>
      <c r="AG4" s="14">
        <v>0</v>
      </c>
      <c r="AH4">
        <v>3</v>
      </c>
      <c r="AI4">
        <v>1</v>
      </c>
      <c r="AJ4">
        <v>1</v>
      </c>
      <c r="AK4">
        <v>0</v>
      </c>
      <c r="AL4">
        <v>2</v>
      </c>
    </row>
    <row r="5" spans="1:38" x14ac:dyDescent="0.35">
      <c r="A5">
        <v>4</v>
      </c>
      <c r="B5" t="s">
        <v>70</v>
      </c>
      <c r="C5">
        <v>-0.04</v>
      </c>
      <c r="D5" t="s">
        <v>151</v>
      </c>
      <c r="E5" t="s">
        <v>118</v>
      </c>
      <c r="F5">
        <v>1</v>
      </c>
      <c r="G5">
        <v>0</v>
      </c>
      <c r="H5" s="25">
        <v>0</v>
      </c>
      <c r="I5" s="3">
        <v>0</v>
      </c>
      <c r="J5" s="3">
        <v>0</v>
      </c>
      <c r="K5" s="3">
        <v>0</v>
      </c>
      <c r="L5" s="3">
        <v>0</v>
      </c>
      <c r="M5" s="3">
        <v>0</v>
      </c>
      <c r="N5" s="3">
        <v>0</v>
      </c>
      <c r="O5" s="3">
        <v>0</v>
      </c>
      <c r="P5" s="3">
        <v>0</v>
      </c>
      <c r="Q5" s="3">
        <v>0</v>
      </c>
      <c r="R5" s="3">
        <v>0</v>
      </c>
      <c r="S5" s="6">
        <v>0</v>
      </c>
      <c r="T5" s="6">
        <f t="shared" si="0"/>
        <v>1</v>
      </c>
      <c r="U5" t="s">
        <v>42</v>
      </c>
      <c r="V5" s="6">
        <v>0</v>
      </c>
      <c r="W5" s="6">
        <v>0</v>
      </c>
      <c r="X5" s="6">
        <v>0</v>
      </c>
      <c r="Y5" s="11">
        <v>5</v>
      </c>
      <c r="Z5" s="6">
        <v>4</v>
      </c>
      <c r="AA5">
        <v>90</v>
      </c>
      <c r="AB5">
        <v>0</v>
      </c>
      <c r="AC5">
        <v>5</v>
      </c>
      <c r="AD5" s="22">
        <v>4</v>
      </c>
      <c r="AE5">
        <v>4</v>
      </c>
      <c r="AF5">
        <v>2</v>
      </c>
      <c r="AG5" s="14">
        <v>1</v>
      </c>
      <c r="AH5">
        <v>0</v>
      </c>
      <c r="AI5">
        <v>1</v>
      </c>
      <c r="AJ5" s="3">
        <v>2</v>
      </c>
      <c r="AK5">
        <v>3</v>
      </c>
      <c r="AL5">
        <v>3</v>
      </c>
    </row>
    <row r="6" spans="1:38" x14ac:dyDescent="0.35">
      <c r="A6">
        <v>5</v>
      </c>
      <c r="B6" t="s">
        <v>160</v>
      </c>
      <c r="C6">
        <v>0.44</v>
      </c>
      <c r="D6" t="s">
        <v>151</v>
      </c>
      <c r="E6" t="s">
        <v>118</v>
      </c>
      <c r="F6">
        <v>1</v>
      </c>
      <c r="G6">
        <v>0</v>
      </c>
      <c r="H6" s="25">
        <v>0.5</v>
      </c>
      <c r="I6" s="3">
        <v>0</v>
      </c>
      <c r="J6" s="3">
        <v>1</v>
      </c>
      <c r="K6" s="3">
        <v>0</v>
      </c>
      <c r="L6" s="3">
        <v>0</v>
      </c>
      <c r="M6" s="3">
        <v>1</v>
      </c>
      <c r="N6" s="3">
        <v>0</v>
      </c>
      <c r="O6" s="3">
        <v>1</v>
      </c>
      <c r="P6" s="3">
        <v>0</v>
      </c>
      <c r="Q6" s="3">
        <v>1</v>
      </c>
      <c r="R6" s="3">
        <v>0</v>
      </c>
      <c r="S6" s="6">
        <v>0</v>
      </c>
      <c r="T6" s="6">
        <f t="shared" si="0"/>
        <v>0</v>
      </c>
      <c r="U6" t="s">
        <v>12</v>
      </c>
      <c r="V6" s="6">
        <v>1</v>
      </c>
      <c r="W6" s="6">
        <v>0</v>
      </c>
      <c r="X6" s="6">
        <v>0</v>
      </c>
      <c r="Y6" s="3">
        <v>1</v>
      </c>
      <c r="Z6" s="6">
        <v>1</v>
      </c>
      <c r="AA6" s="3">
        <v>17</v>
      </c>
      <c r="AB6" s="3">
        <v>0</v>
      </c>
      <c r="AC6" s="3">
        <v>2</v>
      </c>
      <c r="AD6" s="22">
        <v>1</v>
      </c>
      <c r="AE6" s="3">
        <v>4</v>
      </c>
      <c r="AF6" s="3">
        <v>3</v>
      </c>
      <c r="AG6" s="6">
        <v>0</v>
      </c>
      <c r="AH6" s="3">
        <v>2</v>
      </c>
      <c r="AI6" s="3">
        <v>2</v>
      </c>
      <c r="AJ6" s="3">
        <v>2</v>
      </c>
      <c r="AK6" s="3">
        <v>0</v>
      </c>
      <c r="AL6" s="3">
        <v>0</v>
      </c>
    </row>
    <row r="7" spans="1:38" x14ac:dyDescent="0.35">
      <c r="A7">
        <v>6</v>
      </c>
      <c r="B7" t="s">
        <v>70</v>
      </c>
      <c r="C7">
        <v>-0.04</v>
      </c>
      <c r="D7" t="s">
        <v>151</v>
      </c>
      <c r="E7" t="s">
        <v>115</v>
      </c>
      <c r="F7">
        <v>1</v>
      </c>
      <c r="G7">
        <v>0</v>
      </c>
      <c r="H7" s="25">
        <v>0.25</v>
      </c>
      <c r="I7" s="3">
        <v>0</v>
      </c>
      <c r="J7" s="3">
        <v>1</v>
      </c>
      <c r="K7" s="3">
        <v>0</v>
      </c>
      <c r="L7" s="3">
        <v>0</v>
      </c>
      <c r="M7" s="3">
        <v>0</v>
      </c>
      <c r="N7" s="3">
        <v>0</v>
      </c>
      <c r="O7" s="3">
        <v>1</v>
      </c>
      <c r="P7" s="3">
        <v>0</v>
      </c>
      <c r="Q7" s="3">
        <v>0</v>
      </c>
      <c r="R7" s="3">
        <v>0</v>
      </c>
      <c r="S7" s="6">
        <v>0</v>
      </c>
      <c r="T7" s="6">
        <f t="shared" si="0"/>
        <v>0</v>
      </c>
      <c r="U7" t="s">
        <v>133</v>
      </c>
      <c r="V7" s="6">
        <v>0</v>
      </c>
      <c r="W7" s="6">
        <v>1</v>
      </c>
      <c r="X7" s="6">
        <v>1</v>
      </c>
      <c r="Y7" s="3">
        <v>2</v>
      </c>
      <c r="Z7" s="6">
        <v>2</v>
      </c>
      <c r="AA7" s="3">
        <v>135</v>
      </c>
      <c r="AB7" s="3">
        <v>2</v>
      </c>
      <c r="AC7" s="3">
        <v>5</v>
      </c>
      <c r="AD7" s="22">
        <v>3</v>
      </c>
      <c r="AE7" s="3">
        <v>3</v>
      </c>
      <c r="AF7" s="3">
        <v>3</v>
      </c>
      <c r="AG7" s="6">
        <v>0</v>
      </c>
      <c r="AH7" s="3">
        <v>0</v>
      </c>
      <c r="AI7" s="3">
        <v>1</v>
      </c>
      <c r="AJ7" s="3">
        <v>2</v>
      </c>
      <c r="AK7" s="3">
        <v>1</v>
      </c>
      <c r="AL7" s="3">
        <v>3</v>
      </c>
    </row>
    <row r="8" spans="1:38" x14ac:dyDescent="0.35">
      <c r="A8">
        <v>7</v>
      </c>
      <c r="B8" t="s">
        <v>70</v>
      </c>
      <c r="C8">
        <v>-0.04</v>
      </c>
      <c r="D8" t="s">
        <v>151</v>
      </c>
      <c r="E8" t="s">
        <v>115</v>
      </c>
      <c r="F8">
        <v>1</v>
      </c>
      <c r="G8">
        <v>0</v>
      </c>
      <c r="H8" s="25">
        <v>0.25</v>
      </c>
      <c r="I8" s="3">
        <v>0</v>
      </c>
      <c r="J8" s="3">
        <v>1</v>
      </c>
      <c r="K8" s="3">
        <v>0</v>
      </c>
      <c r="L8" s="3">
        <v>0</v>
      </c>
      <c r="M8" s="3">
        <v>1</v>
      </c>
      <c r="N8" s="3">
        <v>0</v>
      </c>
      <c r="O8" s="3">
        <v>1</v>
      </c>
      <c r="P8" s="3">
        <v>0</v>
      </c>
      <c r="Q8" s="3">
        <v>0</v>
      </c>
      <c r="R8" s="3">
        <v>1</v>
      </c>
      <c r="S8" s="6">
        <v>0</v>
      </c>
      <c r="T8" s="6">
        <f t="shared" si="0"/>
        <v>0</v>
      </c>
      <c r="U8" t="s">
        <v>12</v>
      </c>
      <c r="V8" s="6">
        <v>0</v>
      </c>
      <c r="W8" s="6">
        <v>1</v>
      </c>
      <c r="X8" s="6">
        <v>1</v>
      </c>
      <c r="Y8" s="3">
        <v>2</v>
      </c>
      <c r="Z8" s="6">
        <v>3</v>
      </c>
      <c r="AA8" s="3">
        <v>135</v>
      </c>
      <c r="AB8" s="3">
        <v>3</v>
      </c>
      <c r="AC8" s="3">
        <v>5</v>
      </c>
      <c r="AD8" s="22">
        <v>3</v>
      </c>
      <c r="AE8" s="3">
        <v>3</v>
      </c>
      <c r="AF8" s="3">
        <v>3</v>
      </c>
      <c r="AG8" s="6">
        <v>1</v>
      </c>
      <c r="AH8" s="3">
        <v>0</v>
      </c>
      <c r="AI8" s="3">
        <v>1</v>
      </c>
      <c r="AJ8" s="3">
        <v>2</v>
      </c>
      <c r="AK8" s="3">
        <v>1</v>
      </c>
      <c r="AL8" s="3">
        <v>3</v>
      </c>
    </row>
    <row r="9" spans="1:38" x14ac:dyDescent="0.35">
      <c r="A9">
        <v>8</v>
      </c>
      <c r="B9" t="s">
        <v>64</v>
      </c>
      <c r="C9">
        <v>1.42</v>
      </c>
      <c r="D9" t="s">
        <v>124</v>
      </c>
      <c r="E9" t="s">
        <v>117</v>
      </c>
      <c r="F9">
        <v>0</v>
      </c>
      <c r="G9">
        <v>0</v>
      </c>
      <c r="H9" s="25">
        <v>0</v>
      </c>
      <c r="I9" s="3">
        <v>0</v>
      </c>
      <c r="J9" s="3">
        <v>0</v>
      </c>
      <c r="K9" s="3">
        <v>0</v>
      </c>
      <c r="L9" s="3">
        <v>0</v>
      </c>
      <c r="M9" s="3">
        <v>0</v>
      </c>
      <c r="N9" s="3">
        <v>0</v>
      </c>
      <c r="O9" s="3">
        <v>0</v>
      </c>
      <c r="P9" s="3">
        <v>0</v>
      </c>
      <c r="Q9" s="3">
        <v>0</v>
      </c>
      <c r="R9" s="3">
        <v>0</v>
      </c>
      <c r="S9" s="6">
        <v>0</v>
      </c>
      <c r="T9" s="6">
        <f t="shared" si="0"/>
        <v>1</v>
      </c>
      <c r="U9" t="s">
        <v>42</v>
      </c>
      <c r="V9" s="6">
        <v>0</v>
      </c>
      <c r="W9" s="6">
        <v>1</v>
      </c>
      <c r="X9" s="6">
        <v>1</v>
      </c>
      <c r="Y9" s="3">
        <v>1</v>
      </c>
      <c r="Z9" s="6">
        <v>1</v>
      </c>
      <c r="AA9" s="3">
        <v>5</v>
      </c>
      <c r="AB9" s="3">
        <v>0</v>
      </c>
      <c r="AC9" s="3">
        <v>2</v>
      </c>
      <c r="AD9" s="22">
        <v>3</v>
      </c>
      <c r="AE9" s="3">
        <v>3</v>
      </c>
      <c r="AF9" s="3">
        <v>0</v>
      </c>
      <c r="AG9" s="6">
        <v>2</v>
      </c>
      <c r="AH9" s="3">
        <v>0</v>
      </c>
      <c r="AI9" s="3">
        <v>2</v>
      </c>
      <c r="AJ9" s="3">
        <v>2</v>
      </c>
      <c r="AK9" s="3">
        <v>0</v>
      </c>
      <c r="AL9" s="3">
        <v>2</v>
      </c>
    </row>
    <row r="10" spans="1:38" s="14" customFormat="1" x14ac:dyDescent="0.35">
      <c r="A10" s="14">
        <v>9</v>
      </c>
      <c r="B10" s="14" t="s">
        <v>70</v>
      </c>
      <c r="C10" s="14">
        <v>-0.04</v>
      </c>
      <c r="D10" s="14" t="s">
        <v>137</v>
      </c>
      <c r="E10" s="14" t="s">
        <v>115</v>
      </c>
      <c r="F10" s="14">
        <v>1</v>
      </c>
      <c r="G10" s="14">
        <v>0</v>
      </c>
      <c r="H10" s="17">
        <v>0</v>
      </c>
      <c r="I10" s="6">
        <v>0</v>
      </c>
      <c r="J10" s="6">
        <v>0</v>
      </c>
      <c r="K10" s="6">
        <v>0</v>
      </c>
      <c r="L10" s="6">
        <v>0</v>
      </c>
      <c r="M10" s="6">
        <v>0</v>
      </c>
      <c r="N10" s="6">
        <v>0</v>
      </c>
      <c r="O10" s="6">
        <v>1</v>
      </c>
      <c r="P10" s="6">
        <v>0</v>
      </c>
      <c r="Q10" s="6">
        <v>0</v>
      </c>
      <c r="R10" s="6">
        <v>1</v>
      </c>
      <c r="S10" s="6">
        <v>0</v>
      </c>
      <c r="T10" s="6">
        <f t="shared" si="0"/>
        <v>0</v>
      </c>
      <c r="U10" s="14" t="s">
        <v>102</v>
      </c>
      <c r="V10" s="6">
        <v>0</v>
      </c>
      <c r="W10" s="6">
        <v>1</v>
      </c>
      <c r="X10" s="6">
        <v>1</v>
      </c>
      <c r="Y10" s="6">
        <v>2</v>
      </c>
      <c r="Z10" s="6">
        <v>3</v>
      </c>
      <c r="AA10" s="6">
        <v>50</v>
      </c>
      <c r="AB10" s="6">
        <v>2</v>
      </c>
      <c r="AC10" s="6">
        <v>3</v>
      </c>
      <c r="AD10" s="22">
        <v>3</v>
      </c>
      <c r="AE10" s="6">
        <v>2</v>
      </c>
      <c r="AF10" s="6">
        <v>2</v>
      </c>
      <c r="AG10" s="6">
        <v>0</v>
      </c>
      <c r="AH10" s="6">
        <v>2</v>
      </c>
      <c r="AI10" s="6">
        <v>1</v>
      </c>
      <c r="AJ10" s="6">
        <v>2</v>
      </c>
      <c r="AK10" s="6">
        <v>2</v>
      </c>
      <c r="AL10" s="6">
        <v>2</v>
      </c>
    </row>
    <row r="11" spans="1:38" x14ac:dyDescent="0.35">
      <c r="A11">
        <v>10</v>
      </c>
      <c r="B11" t="s">
        <v>70</v>
      </c>
      <c r="C11">
        <v>-0.04</v>
      </c>
      <c r="D11" t="s">
        <v>114</v>
      </c>
      <c r="E11" t="s">
        <v>115</v>
      </c>
      <c r="F11">
        <v>0</v>
      </c>
      <c r="G11">
        <v>0</v>
      </c>
      <c r="H11" s="25">
        <v>0</v>
      </c>
      <c r="I11" s="3">
        <v>0</v>
      </c>
      <c r="J11" s="3">
        <v>0</v>
      </c>
      <c r="K11" s="3">
        <v>0</v>
      </c>
      <c r="L11" s="3">
        <v>1</v>
      </c>
      <c r="M11" s="3">
        <v>0</v>
      </c>
      <c r="N11" s="3">
        <v>0</v>
      </c>
      <c r="O11" s="3">
        <v>0</v>
      </c>
      <c r="P11" s="3">
        <v>0</v>
      </c>
      <c r="Q11" s="3">
        <v>0</v>
      </c>
      <c r="R11" s="3">
        <v>0</v>
      </c>
      <c r="S11" s="6">
        <v>0</v>
      </c>
      <c r="T11" s="6">
        <f t="shared" si="0"/>
        <v>0</v>
      </c>
      <c r="U11" t="s">
        <v>135</v>
      </c>
      <c r="V11" s="6">
        <v>0</v>
      </c>
      <c r="W11" s="6">
        <v>1</v>
      </c>
      <c r="X11" s="6">
        <v>1</v>
      </c>
      <c r="Y11" s="3">
        <v>2</v>
      </c>
      <c r="Z11" s="6">
        <v>4</v>
      </c>
      <c r="AA11" s="3">
        <v>18</v>
      </c>
      <c r="AB11" s="3">
        <v>2</v>
      </c>
      <c r="AC11" s="3">
        <v>5</v>
      </c>
      <c r="AD11" s="22">
        <v>3</v>
      </c>
      <c r="AE11" s="3">
        <v>3</v>
      </c>
      <c r="AF11" s="3">
        <v>2</v>
      </c>
      <c r="AG11" s="6">
        <v>1</v>
      </c>
      <c r="AH11" s="3">
        <v>1</v>
      </c>
      <c r="AI11" s="3">
        <v>1</v>
      </c>
      <c r="AJ11" s="3">
        <v>2</v>
      </c>
      <c r="AK11" s="3">
        <v>2</v>
      </c>
      <c r="AL11" s="3">
        <v>2</v>
      </c>
    </row>
    <row r="12" spans="1:38" x14ac:dyDescent="0.35">
      <c r="A12">
        <v>11</v>
      </c>
      <c r="B12" t="s">
        <v>161</v>
      </c>
      <c r="C12">
        <v>1.47</v>
      </c>
      <c r="D12" t="s">
        <v>151</v>
      </c>
      <c r="E12" t="s">
        <v>118</v>
      </c>
      <c r="F12">
        <v>1</v>
      </c>
      <c r="G12">
        <v>0</v>
      </c>
      <c r="H12" s="25">
        <v>1</v>
      </c>
      <c r="I12" s="6">
        <v>1</v>
      </c>
      <c r="J12" s="6">
        <v>0</v>
      </c>
      <c r="K12" s="6">
        <v>0</v>
      </c>
      <c r="L12" s="3">
        <v>0</v>
      </c>
      <c r="M12" s="3">
        <v>0</v>
      </c>
      <c r="N12" s="3">
        <v>0</v>
      </c>
      <c r="O12" s="3">
        <v>1</v>
      </c>
      <c r="P12" s="3">
        <v>0</v>
      </c>
      <c r="Q12" s="3">
        <v>0</v>
      </c>
      <c r="R12" s="3">
        <v>0</v>
      </c>
      <c r="S12" s="6">
        <v>0</v>
      </c>
      <c r="T12" s="6">
        <f t="shared" si="0"/>
        <v>0</v>
      </c>
      <c r="U12" t="s">
        <v>11</v>
      </c>
      <c r="V12" s="6">
        <v>0</v>
      </c>
      <c r="W12" s="6">
        <v>1</v>
      </c>
      <c r="X12" s="6">
        <v>1</v>
      </c>
      <c r="Y12">
        <v>1</v>
      </c>
      <c r="Z12" s="6">
        <v>1</v>
      </c>
      <c r="AA12">
        <v>7</v>
      </c>
      <c r="AB12" s="3">
        <v>1</v>
      </c>
      <c r="AC12">
        <v>5</v>
      </c>
      <c r="AD12" s="22">
        <v>3</v>
      </c>
      <c r="AE12">
        <v>4</v>
      </c>
      <c r="AF12">
        <v>1</v>
      </c>
      <c r="AG12" s="14">
        <v>0</v>
      </c>
      <c r="AH12">
        <v>1</v>
      </c>
      <c r="AI12">
        <v>1</v>
      </c>
      <c r="AJ12">
        <v>2</v>
      </c>
      <c r="AK12">
        <v>1</v>
      </c>
      <c r="AL12">
        <v>1</v>
      </c>
    </row>
    <row r="13" spans="1:38" x14ac:dyDescent="0.35">
      <c r="A13">
        <v>12</v>
      </c>
      <c r="B13" t="s">
        <v>161</v>
      </c>
      <c r="C13">
        <v>1.47</v>
      </c>
      <c r="D13" t="s">
        <v>151</v>
      </c>
      <c r="E13" t="s">
        <v>121</v>
      </c>
      <c r="F13">
        <v>1</v>
      </c>
      <c r="G13">
        <v>0</v>
      </c>
      <c r="H13" s="25">
        <v>0.5</v>
      </c>
      <c r="I13" s="3">
        <v>0</v>
      </c>
      <c r="J13" s="3">
        <v>1</v>
      </c>
      <c r="K13" s="3">
        <v>0</v>
      </c>
      <c r="L13" s="3">
        <v>0</v>
      </c>
      <c r="M13" s="3">
        <v>0</v>
      </c>
      <c r="N13" s="3">
        <v>0</v>
      </c>
      <c r="O13" s="3">
        <v>0</v>
      </c>
      <c r="P13" s="3">
        <v>0</v>
      </c>
      <c r="Q13" s="3">
        <v>0</v>
      </c>
      <c r="R13" s="3">
        <v>0</v>
      </c>
      <c r="S13" s="6">
        <v>0</v>
      </c>
      <c r="T13" s="6">
        <f t="shared" si="0"/>
        <v>0</v>
      </c>
      <c r="U13" t="s">
        <v>133</v>
      </c>
      <c r="V13" s="6">
        <v>0</v>
      </c>
      <c r="W13" s="6">
        <v>0</v>
      </c>
      <c r="X13" s="6">
        <v>0</v>
      </c>
      <c r="Y13">
        <v>3</v>
      </c>
      <c r="Z13" s="6">
        <v>3</v>
      </c>
      <c r="AA13">
        <v>46</v>
      </c>
      <c r="AB13" s="3">
        <v>7</v>
      </c>
      <c r="AC13">
        <v>5</v>
      </c>
      <c r="AD13" s="22">
        <v>4</v>
      </c>
      <c r="AE13">
        <v>3</v>
      </c>
      <c r="AF13">
        <v>2</v>
      </c>
      <c r="AG13" s="14">
        <v>0</v>
      </c>
      <c r="AH13">
        <v>2</v>
      </c>
      <c r="AI13">
        <v>1</v>
      </c>
      <c r="AJ13">
        <v>1</v>
      </c>
      <c r="AK13" s="10">
        <v>2</v>
      </c>
      <c r="AL13">
        <v>2</v>
      </c>
    </row>
    <row r="14" spans="1:38" x14ac:dyDescent="0.35">
      <c r="A14">
        <v>13</v>
      </c>
      <c r="B14" t="s">
        <v>64</v>
      </c>
      <c r="C14">
        <v>1.42</v>
      </c>
      <c r="D14" t="s">
        <v>150</v>
      </c>
      <c r="E14" t="s">
        <v>117</v>
      </c>
      <c r="F14">
        <v>1</v>
      </c>
      <c r="G14">
        <v>0</v>
      </c>
      <c r="H14" s="25">
        <v>0.25</v>
      </c>
      <c r="I14" s="3">
        <v>0</v>
      </c>
      <c r="J14" s="3">
        <v>0</v>
      </c>
      <c r="K14" s="3">
        <v>0</v>
      </c>
      <c r="L14" s="3">
        <v>0</v>
      </c>
      <c r="M14" s="3">
        <v>0</v>
      </c>
      <c r="N14" s="3">
        <v>0</v>
      </c>
      <c r="O14" s="3">
        <v>0</v>
      </c>
      <c r="P14" s="3">
        <v>0</v>
      </c>
      <c r="Q14" s="3">
        <v>0</v>
      </c>
      <c r="R14" s="3">
        <v>0</v>
      </c>
      <c r="S14" s="6">
        <v>0</v>
      </c>
      <c r="T14" s="6">
        <f t="shared" si="0"/>
        <v>1</v>
      </c>
      <c r="U14" t="s">
        <v>42</v>
      </c>
      <c r="V14" s="6">
        <v>0</v>
      </c>
      <c r="W14" s="6">
        <v>0</v>
      </c>
      <c r="X14" s="6">
        <v>0</v>
      </c>
      <c r="Y14" s="3">
        <v>1</v>
      </c>
      <c r="Z14" s="6">
        <v>2</v>
      </c>
      <c r="AA14" s="3">
        <v>4</v>
      </c>
      <c r="AB14" s="3">
        <v>0</v>
      </c>
      <c r="AC14" s="3">
        <v>1</v>
      </c>
      <c r="AD14" s="22">
        <v>4</v>
      </c>
      <c r="AE14" s="3">
        <v>2</v>
      </c>
      <c r="AF14" s="3">
        <v>2</v>
      </c>
      <c r="AG14" s="6">
        <v>1</v>
      </c>
      <c r="AH14" s="3">
        <v>1</v>
      </c>
      <c r="AI14" s="3">
        <v>1</v>
      </c>
      <c r="AJ14" s="3">
        <v>0</v>
      </c>
      <c r="AK14" s="3">
        <v>0</v>
      </c>
      <c r="AL14" s="3">
        <v>0</v>
      </c>
    </row>
    <row r="15" spans="1:38" x14ac:dyDescent="0.35">
      <c r="A15">
        <v>14</v>
      </c>
      <c r="B15" t="s">
        <v>160</v>
      </c>
      <c r="C15">
        <v>0.44</v>
      </c>
      <c r="D15" t="s">
        <v>124</v>
      </c>
      <c r="E15" t="s">
        <v>115</v>
      </c>
      <c r="F15">
        <v>1</v>
      </c>
      <c r="G15">
        <v>0</v>
      </c>
      <c r="H15" s="25">
        <v>1</v>
      </c>
      <c r="I15" s="3">
        <v>0</v>
      </c>
      <c r="J15" s="3">
        <v>0</v>
      </c>
      <c r="K15" s="3">
        <v>0</v>
      </c>
      <c r="L15" s="3">
        <v>0</v>
      </c>
      <c r="M15" s="3">
        <v>0</v>
      </c>
      <c r="N15" s="3">
        <v>0</v>
      </c>
      <c r="O15" s="3">
        <v>0</v>
      </c>
      <c r="P15" s="3">
        <v>0</v>
      </c>
      <c r="Q15" s="3">
        <v>0</v>
      </c>
      <c r="R15" s="3">
        <v>0</v>
      </c>
      <c r="S15" s="6">
        <v>0</v>
      </c>
      <c r="T15" s="6">
        <f t="shared" si="0"/>
        <v>1</v>
      </c>
      <c r="U15" t="s">
        <v>42</v>
      </c>
      <c r="V15" s="6">
        <v>0</v>
      </c>
      <c r="W15" s="6">
        <v>2</v>
      </c>
      <c r="X15" s="6">
        <v>2</v>
      </c>
      <c r="Y15" s="3">
        <v>1</v>
      </c>
      <c r="Z15" s="6">
        <v>2</v>
      </c>
      <c r="AA15" s="3">
        <v>4</v>
      </c>
      <c r="AB15" s="3">
        <v>0</v>
      </c>
      <c r="AC15" s="3">
        <v>4</v>
      </c>
      <c r="AD15" s="22">
        <v>3</v>
      </c>
      <c r="AE15" s="3">
        <v>4</v>
      </c>
      <c r="AF15" s="3">
        <v>0</v>
      </c>
      <c r="AG15" s="6">
        <v>2</v>
      </c>
      <c r="AH15" s="3">
        <v>0</v>
      </c>
      <c r="AI15" s="3">
        <v>2</v>
      </c>
      <c r="AJ15" s="3">
        <v>2</v>
      </c>
      <c r="AK15" s="3">
        <v>0</v>
      </c>
      <c r="AL15" s="3">
        <v>2</v>
      </c>
    </row>
    <row r="16" spans="1:38" x14ac:dyDescent="0.35">
      <c r="A16">
        <v>15</v>
      </c>
      <c r="B16" t="s">
        <v>70</v>
      </c>
      <c r="C16">
        <v>-0.04</v>
      </c>
      <c r="D16" t="s">
        <v>150</v>
      </c>
      <c r="E16" t="s">
        <v>117</v>
      </c>
      <c r="F16">
        <v>1</v>
      </c>
      <c r="G16">
        <v>0</v>
      </c>
      <c r="H16" s="25">
        <v>0</v>
      </c>
      <c r="I16" s="3">
        <v>0</v>
      </c>
      <c r="J16" s="3">
        <v>0</v>
      </c>
      <c r="K16" s="3">
        <v>0</v>
      </c>
      <c r="L16" s="3">
        <v>0</v>
      </c>
      <c r="M16" s="3">
        <v>1</v>
      </c>
      <c r="N16" s="3">
        <v>0</v>
      </c>
      <c r="O16" s="3">
        <v>1</v>
      </c>
      <c r="P16" s="3">
        <v>0</v>
      </c>
      <c r="Q16" s="3">
        <v>0</v>
      </c>
      <c r="R16" s="3">
        <v>1</v>
      </c>
      <c r="S16" s="6">
        <v>0</v>
      </c>
      <c r="T16" s="6">
        <f t="shared" si="0"/>
        <v>0</v>
      </c>
      <c r="U16" t="s">
        <v>42</v>
      </c>
      <c r="V16" s="6">
        <v>0</v>
      </c>
      <c r="W16" s="6">
        <v>2</v>
      </c>
      <c r="X16" s="6">
        <v>1</v>
      </c>
      <c r="Y16" s="3">
        <v>2</v>
      </c>
      <c r="Z16" s="6">
        <v>3</v>
      </c>
      <c r="AA16" s="3">
        <v>57</v>
      </c>
      <c r="AB16" s="3">
        <v>0</v>
      </c>
      <c r="AC16" s="3">
        <v>4</v>
      </c>
      <c r="AD16" s="22">
        <v>4</v>
      </c>
      <c r="AE16" s="3">
        <v>3</v>
      </c>
      <c r="AF16" s="3">
        <v>2</v>
      </c>
      <c r="AG16" s="6">
        <v>0</v>
      </c>
      <c r="AH16" s="3">
        <v>0</v>
      </c>
      <c r="AI16" s="3">
        <v>1</v>
      </c>
      <c r="AJ16" s="3">
        <v>2</v>
      </c>
      <c r="AK16" s="3">
        <v>1</v>
      </c>
      <c r="AL16" s="3">
        <v>0</v>
      </c>
    </row>
    <row r="17" spans="1:38" x14ac:dyDescent="0.35">
      <c r="A17">
        <v>16</v>
      </c>
      <c r="B17" t="s">
        <v>70</v>
      </c>
      <c r="C17">
        <v>-0.04</v>
      </c>
      <c r="D17" t="s">
        <v>125</v>
      </c>
      <c r="E17" t="s">
        <v>117</v>
      </c>
      <c r="F17">
        <v>1</v>
      </c>
      <c r="G17">
        <v>0</v>
      </c>
      <c r="H17" s="25">
        <v>0.25</v>
      </c>
      <c r="I17" s="3">
        <v>1</v>
      </c>
      <c r="J17" s="3">
        <v>1</v>
      </c>
      <c r="K17" s="3">
        <v>1</v>
      </c>
      <c r="L17" s="3">
        <v>0</v>
      </c>
      <c r="M17" s="3">
        <v>0</v>
      </c>
      <c r="N17" s="3">
        <v>0</v>
      </c>
      <c r="O17" s="3">
        <v>0</v>
      </c>
      <c r="P17" s="3">
        <v>0</v>
      </c>
      <c r="Q17" s="3">
        <v>0</v>
      </c>
      <c r="R17" s="3">
        <v>0</v>
      </c>
      <c r="S17" s="6">
        <v>0</v>
      </c>
      <c r="T17" s="6">
        <f t="shared" si="0"/>
        <v>0</v>
      </c>
      <c r="U17" t="s">
        <v>133</v>
      </c>
      <c r="V17" s="6">
        <v>0</v>
      </c>
      <c r="W17" s="6">
        <v>2</v>
      </c>
      <c r="X17" s="6">
        <v>2</v>
      </c>
      <c r="Y17" s="3">
        <v>1</v>
      </c>
      <c r="Z17" s="6">
        <v>2</v>
      </c>
      <c r="AA17" s="3">
        <v>13</v>
      </c>
      <c r="AB17" s="3">
        <v>2</v>
      </c>
      <c r="AC17" s="3">
        <v>5</v>
      </c>
      <c r="AD17" s="22">
        <v>3</v>
      </c>
      <c r="AE17" s="3">
        <v>4</v>
      </c>
      <c r="AF17" s="3">
        <v>2</v>
      </c>
      <c r="AG17" s="6">
        <v>2</v>
      </c>
      <c r="AH17" s="3">
        <v>0</v>
      </c>
      <c r="AI17" s="3">
        <v>1</v>
      </c>
      <c r="AJ17" s="3">
        <v>1</v>
      </c>
      <c r="AK17" s="3">
        <v>1</v>
      </c>
      <c r="AL17" s="3">
        <v>1</v>
      </c>
    </row>
    <row r="18" spans="1:38" x14ac:dyDescent="0.35">
      <c r="A18">
        <v>17</v>
      </c>
      <c r="B18" t="s">
        <v>70</v>
      </c>
      <c r="C18">
        <v>-0.04</v>
      </c>
      <c r="D18" t="s">
        <v>125</v>
      </c>
      <c r="E18" t="s">
        <v>115</v>
      </c>
      <c r="F18">
        <v>1</v>
      </c>
      <c r="G18">
        <v>0</v>
      </c>
      <c r="H18" s="25">
        <v>0.25</v>
      </c>
      <c r="I18" s="3">
        <v>0</v>
      </c>
      <c r="J18" s="3">
        <v>1</v>
      </c>
      <c r="K18" s="3">
        <v>1</v>
      </c>
      <c r="L18" s="3">
        <v>1</v>
      </c>
      <c r="M18" s="3">
        <v>1</v>
      </c>
      <c r="N18" s="3">
        <v>0</v>
      </c>
      <c r="O18" s="3">
        <v>1</v>
      </c>
      <c r="P18" s="3">
        <v>0</v>
      </c>
      <c r="Q18" s="3">
        <v>0</v>
      </c>
      <c r="R18" s="3">
        <v>1</v>
      </c>
      <c r="S18" s="6">
        <v>0</v>
      </c>
      <c r="T18" s="6">
        <f t="shared" si="0"/>
        <v>0</v>
      </c>
      <c r="U18" t="s">
        <v>14</v>
      </c>
      <c r="V18" s="6">
        <v>0</v>
      </c>
      <c r="W18" s="6">
        <v>2</v>
      </c>
      <c r="X18" s="6">
        <v>2</v>
      </c>
      <c r="Y18" s="3">
        <v>2</v>
      </c>
      <c r="Z18" s="6">
        <v>4</v>
      </c>
      <c r="AA18" s="3">
        <v>12</v>
      </c>
      <c r="AB18" s="3">
        <v>0</v>
      </c>
      <c r="AC18" s="3">
        <v>2</v>
      </c>
      <c r="AD18" s="22">
        <v>1</v>
      </c>
      <c r="AE18" s="3">
        <v>3</v>
      </c>
      <c r="AF18" s="3">
        <v>2</v>
      </c>
      <c r="AG18" s="6">
        <v>2</v>
      </c>
      <c r="AH18" s="3">
        <v>2</v>
      </c>
      <c r="AI18" s="3">
        <v>2</v>
      </c>
      <c r="AJ18" s="3">
        <v>2</v>
      </c>
      <c r="AK18" s="3">
        <v>0</v>
      </c>
      <c r="AL18" s="3">
        <v>2</v>
      </c>
    </row>
    <row r="19" spans="1:38" x14ac:dyDescent="0.35">
      <c r="A19">
        <v>18</v>
      </c>
      <c r="B19" t="s">
        <v>70</v>
      </c>
      <c r="C19">
        <v>-0.04</v>
      </c>
      <c r="D19" t="s">
        <v>150</v>
      </c>
      <c r="E19" t="s">
        <v>117</v>
      </c>
      <c r="F19">
        <v>1</v>
      </c>
      <c r="G19">
        <v>0</v>
      </c>
      <c r="H19" s="25">
        <v>0.25</v>
      </c>
      <c r="I19" s="3">
        <v>0</v>
      </c>
      <c r="J19" s="3">
        <v>0</v>
      </c>
      <c r="K19" s="3">
        <v>0</v>
      </c>
      <c r="L19" s="3">
        <v>0</v>
      </c>
      <c r="M19" s="3">
        <v>0</v>
      </c>
      <c r="N19" s="3">
        <v>0</v>
      </c>
      <c r="O19" s="3">
        <v>0</v>
      </c>
      <c r="P19" s="3">
        <v>0</v>
      </c>
      <c r="Q19" s="3">
        <v>0</v>
      </c>
      <c r="R19" s="3">
        <v>0</v>
      </c>
      <c r="S19" s="6">
        <v>0</v>
      </c>
      <c r="T19" s="6">
        <f t="shared" si="0"/>
        <v>1</v>
      </c>
      <c r="U19" t="s">
        <v>42</v>
      </c>
      <c r="V19" s="6">
        <v>0</v>
      </c>
      <c r="W19" s="6">
        <v>0</v>
      </c>
      <c r="X19" s="6">
        <v>0</v>
      </c>
      <c r="Y19" s="3">
        <v>1</v>
      </c>
      <c r="Z19" s="6">
        <v>2</v>
      </c>
      <c r="AA19" s="3">
        <v>90</v>
      </c>
      <c r="AB19" s="3">
        <v>4</v>
      </c>
      <c r="AC19" s="3">
        <v>3</v>
      </c>
      <c r="AD19" s="22">
        <v>3</v>
      </c>
      <c r="AE19" s="3">
        <v>1</v>
      </c>
      <c r="AF19" s="3">
        <v>2</v>
      </c>
      <c r="AG19" s="6">
        <v>0</v>
      </c>
      <c r="AH19" s="3">
        <v>0</v>
      </c>
      <c r="AI19" s="3">
        <v>1</v>
      </c>
      <c r="AJ19" s="3">
        <v>1</v>
      </c>
      <c r="AK19" s="3">
        <v>1</v>
      </c>
      <c r="AL19" s="3">
        <v>0</v>
      </c>
    </row>
    <row r="20" spans="1:38" x14ac:dyDescent="0.35">
      <c r="A20">
        <v>19</v>
      </c>
      <c r="B20" t="s">
        <v>66</v>
      </c>
      <c r="C20">
        <v>1.61</v>
      </c>
      <c r="D20" t="s">
        <v>114</v>
      </c>
      <c r="E20" t="s">
        <v>115</v>
      </c>
      <c r="F20">
        <v>0</v>
      </c>
      <c r="G20">
        <v>0</v>
      </c>
      <c r="H20" s="25">
        <v>0</v>
      </c>
      <c r="I20" s="3">
        <v>0</v>
      </c>
      <c r="J20" s="6">
        <v>0</v>
      </c>
      <c r="K20" s="6">
        <v>0</v>
      </c>
      <c r="L20" s="3">
        <v>0</v>
      </c>
      <c r="M20" s="3">
        <v>0</v>
      </c>
      <c r="N20" s="3">
        <v>0</v>
      </c>
      <c r="O20" s="3">
        <v>0</v>
      </c>
      <c r="P20" s="3">
        <v>0</v>
      </c>
      <c r="Q20" s="3">
        <v>0</v>
      </c>
      <c r="R20" s="3">
        <v>0</v>
      </c>
      <c r="S20" s="6">
        <v>0</v>
      </c>
      <c r="T20" s="6">
        <f t="shared" si="0"/>
        <v>1</v>
      </c>
      <c r="U20" t="s">
        <v>42</v>
      </c>
      <c r="V20" s="6">
        <v>2</v>
      </c>
      <c r="W20" s="6">
        <v>1</v>
      </c>
      <c r="X20" s="6">
        <v>1</v>
      </c>
      <c r="Y20" s="3">
        <v>1</v>
      </c>
      <c r="Z20" s="6">
        <v>1</v>
      </c>
      <c r="AA20" s="3">
        <v>118</v>
      </c>
      <c r="AB20" s="3">
        <v>2</v>
      </c>
      <c r="AC20" s="3">
        <v>5</v>
      </c>
      <c r="AD20" s="22">
        <v>2</v>
      </c>
      <c r="AE20" s="3">
        <v>3</v>
      </c>
      <c r="AF20" s="3">
        <v>2</v>
      </c>
      <c r="AG20" s="6">
        <v>0</v>
      </c>
      <c r="AH20" s="3">
        <v>1</v>
      </c>
      <c r="AI20" s="3">
        <v>3</v>
      </c>
      <c r="AJ20" s="3">
        <v>2</v>
      </c>
      <c r="AK20" s="3">
        <v>2</v>
      </c>
      <c r="AL20" s="3">
        <v>2</v>
      </c>
    </row>
    <row r="21" spans="1:38" x14ac:dyDescent="0.35">
      <c r="A21">
        <v>20</v>
      </c>
      <c r="B21" t="s">
        <v>70</v>
      </c>
      <c r="C21">
        <v>-0.04</v>
      </c>
      <c r="D21" t="s">
        <v>150</v>
      </c>
      <c r="E21" t="s">
        <v>115</v>
      </c>
      <c r="F21">
        <v>1</v>
      </c>
      <c r="G21">
        <v>0</v>
      </c>
      <c r="H21" s="25">
        <v>0.25</v>
      </c>
      <c r="I21" s="3">
        <v>0</v>
      </c>
      <c r="J21" s="3">
        <v>0</v>
      </c>
      <c r="K21" s="3">
        <v>0</v>
      </c>
      <c r="L21" s="3">
        <v>0</v>
      </c>
      <c r="M21" s="3">
        <v>1</v>
      </c>
      <c r="N21" s="3">
        <v>0</v>
      </c>
      <c r="O21" s="3">
        <v>0</v>
      </c>
      <c r="P21" s="3">
        <v>0</v>
      </c>
      <c r="Q21" s="3">
        <v>0</v>
      </c>
      <c r="R21" s="3">
        <v>0</v>
      </c>
      <c r="S21" s="6">
        <v>0</v>
      </c>
      <c r="T21" s="6">
        <f t="shared" si="0"/>
        <v>0</v>
      </c>
      <c r="U21" t="s">
        <v>12</v>
      </c>
      <c r="V21" s="6">
        <v>0</v>
      </c>
      <c r="W21" s="6">
        <v>2</v>
      </c>
      <c r="X21" s="6">
        <v>1</v>
      </c>
      <c r="Y21" s="3">
        <v>3</v>
      </c>
      <c r="Z21" s="6">
        <v>2</v>
      </c>
      <c r="AA21" s="3">
        <v>60</v>
      </c>
      <c r="AB21" s="3">
        <v>1</v>
      </c>
      <c r="AC21" s="3">
        <v>4</v>
      </c>
      <c r="AD21" s="22">
        <v>3</v>
      </c>
      <c r="AE21" s="3">
        <v>4</v>
      </c>
      <c r="AF21" s="3">
        <v>2</v>
      </c>
      <c r="AG21" s="6">
        <v>1</v>
      </c>
      <c r="AH21" s="3">
        <v>0</v>
      </c>
      <c r="AI21" s="3">
        <v>1</v>
      </c>
      <c r="AJ21" s="3">
        <v>2</v>
      </c>
      <c r="AK21" s="3">
        <v>0</v>
      </c>
      <c r="AL21" s="3">
        <v>2</v>
      </c>
    </row>
    <row r="22" spans="1:38" x14ac:dyDescent="0.35">
      <c r="A22">
        <v>21</v>
      </c>
      <c r="B22" t="s">
        <v>160</v>
      </c>
      <c r="C22">
        <v>0.44</v>
      </c>
      <c r="D22" t="s">
        <v>137</v>
      </c>
      <c r="E22" t="s">
        <v>117</v>
      </c>
      <c r="F22">
        <v>1</v>
      </c>
      <c r="G22">
        <v>0</v>
      </c>
      <c r="H22" s="25">
        <v>0</v>
      </c>
      <c r="I22" s="3">
        <v>0</v>
      </c>
      <c r="J22" s="3">
        <v>0</v>
      </c>
      <c r="K22" s="3">
        <v>0</v>
      </c>
      <c r="L22" s="3">
        <v>0</v>
      </c>
      <c r="M22" s="3">
        <v>0</v>
      </c>
      <c r="N22" s="3">
        <v>0</v>
      </c>
      <c r="O22" s="3">
        <v>1</v>
      </c>
      <c r="P22" s="3">
        <v>0</v>
      </c>
      <c r="Q22" s="3">
        <v>0</v>
      </c>
      <c r="R22" s="3">
        <v>1</v>
      </c>
      <c r="S22" s="6">
        <v>0</v>
      </c>
      <c r="T22" s="6">
        <f t="shared" si="0"/>
        <v>0</v>
      </c>
      <c r="U22" t="s">
        <v>14</v>
      </c>
      <c r="V22" s="6">
        <v>0</v>
      </c>
      <c r="W22" s="6">
        <v>1</v>
      </c>
      <c r="X22" s="6">
        <v>1</v>
      </c>
      <c r="Y22" s="3">
        <v>4</v>
      </c>
      <c r="Z22" s="6">
        <v>2</v>
      </c>
      <c r="AA22" s="3">
        <v>11</v>
      </c>
      <c r="AB22" s="3">
        <v>0</v>
      </c>
      <c r="AC22" s="3">
        <v>4</v>
      </c>
      <c r="AD22" s="22">
        <v>1</v>
      </c>
      <c r="AE22" s="3">
        <v>4</v>
      </c>
      <c r="AF22" s="3">
        <v>0</v>
      </c>
      <c r="AG22" s="6">
        <v>1</v>
      </c>
      <c r="AH22" s="3">
        <v>2</v>
      </c>
      <c r="AI22" s="3">
        <v>2</v>
      </c>
      <c r="AJ22" s="3">
        <v>2</v>
      </c>
      <c r="AK22" s="3">
        <v>1</v>
      </c>
      <c r="AL22" s="3">
        <v>1</v>
      </c>
    </row>
    <row r="23" spans="1:38" x14ac:dyDescent="0.35">
      <c r="A23">
        <v>22</v>
      </c>
      <c r="B23" t="s">
        <v>66</v>
      </c>
      <c r="C23">
        <v>1.61</v>
      </c>
      <c r="D23" t="s">
        <v>114</v>
      </c>
      <c r="E23" t="s">
        <v>115</v>
      </c>
      <c r="F23">
        <v>1</v>
      </c>
      <c r="G23">
        <v>0</v>
      </c>
      <c r="H23" s="25">
        <v>0</v>
      </c>
      <c r="I23" s="3">
        <v>0</v>
      </c>
      <c r="J23" s="6">
        <v>0</v>
      </c>
      <c r="K23" s="6">
        <v>0</v>
      </c>
      <c r="L23" s="3">
        <v>0</v>
      </c>
      <c r="M23" s="3">
        <v>0</v>
      </c>
      <c r="N23" s="3">
        <v>0</v>
      </c>
      <c r="O23" s="3">
        <v>0</v>
      </c>
      <c r="P23" s="3">
        <v>0</v>
      </c>
      <c r="Q23" s="3">
        <v>0</v>
      </c>
      <c r="R23" s="3">
        <v>0</v>
      </c>
      <c r="S23" s="6">
        <v>0</v>
      </c>
      <c r="T23" s="6">
        <f t="shared" si="0"/>
        <v>1</v>
      </c>
      <c r="U23" t="s">
        <v>42</v>
      </c>
      <c r="V23" s="6">
        <v>0</v>
      </c>
      <c r="W23" s="6">
        <v>0</v>
      </c>
      <c r="X23" s="6">
        <v>0</v>
      </c>
      <c r="Y23">
        <v>2</v>
      </c>
      <c r="Z23" s="6">
        <v>2</v>
      </c>
      <c r="AA23">
        <v>63</v>
      </c>
      <c r="AB23" s="3">
        <v>1</v>
      </c>
      <c r="AC23">
        <v>3</v>
      </c>
      <c r="AD23" s="22">
        <v>1</v>
      </c>
      <c r="AE23">
        <v>1</v>
      </c>
      <c r="AF23">
        <v>1</v>
      </c>
      <c r="AG23" s="14">
        <v>0</v>
      </c>
      <c r="AH23">
        <v>0</v>
      </c>
      <c r="AI23">
        <v>1</v>
      </c>
      <c r="AJ23">
        <v>1</v>
      </c>
      <c r="AK23">
        <v>3</v>
      </c>
      <c r="AL23">
        <v>3</v>
      </c>
    </row>
    <row r="24" spans="1:38" x14ac:dyDescent="0.35">
      <c r="A24">
        <v>23</v>
      </c>
      <c r="B24" t="s">
        <v>161</v>
      </c>
      <c r="C24">
        <v>1.47</v>
      </c>
      <c r="D24" t="s">
        <v>151</v>
      </c>
      <c r="E24" t="s">
        <v>118</v>
      </c>
      <c r="F24">
        <v>1</v>
      </c>
      <c r="G24">
        <v>0</v>
      </c>
      <c r="H24" s="25">
        <v>1</v>
      </c>
      <c r="I24" s="3">
        <v>0</v>
      </c>
      <c r="J24" s="3">
        <v>0</v>
      </c>
      <c r="K24" s="3">
        <v>0</v>
      </c>
      <c r="L24" s="3">
        <v>0</v>
      </c>
      <c r="M24" s="3">
        <v>0</v>
      </c>
      <c r="N24" s="3">
        <v>0</v>
      </c>
      <c r="O24" s="3">
        <v>1</v>
      </c>
      <c r="P24" s="3">
        <v>0</v>
      </c>
      <c r="Q24" s="3">
        <v>0</v>
      </c>
      <c r="R24" s="3">
        <v>0</v>
      </c>
      <c r="S24" s="3">
        <v>1</v>
      </c>
      <c r="T24" s="6">
        <f t="shared" si="0"/>
        <v>0</v>
      </c>
      <c r="U24" t="s">
        <v>42</v>
      </c>
      <c r="V24" s="6">
        <v>0</v>
      </c>
      <c r="W24" s="6">
        <v>0</v>
      </c>
      <c r="X24" s="6">
        <v>0</v>
      </c>
      <c r="Y24" s="3">
        <v>5</v>
      </c>
      <c r="AA24" s="3">
        <v>29</v>
      </c>
      <c r="AB24" s="3">
        <v>0</v>
      </c>
      <c r="AC24" s="3">
        <v>4</v>
      </c>
      <c r="AD24" s="22">
        <v>3</v>
      </c>
      <c r="AE24" s="3">
        <v>4</v>
      </c>
      <c r="AF24" s="3">
        <v>2</v>
      </c>
      <c r="AG24" s="6">
        <v>3</v>
      </c>
      <c r="AH24" s="3">
        <v>0</v>
      </c>
      <c r="AI24" s="3">
        <v>1</v>
      </c>
      <c r="AJ24" s="3">
        <v>1</v>
      </c>
      <c r="AK24" s="3">
        <v>1</v>
      </c>
      <c r="AL24" s="3">
        <v>3</v>
      </c>
    </row>
    <row r="25" spans="1:38" x14ac:dyDescent="0.35">
      <c r="A25">
        <v>24</v>
      </c>
      <c r="B25" t="s">
        <v>70</v>
      </c>
      <c r="C25">
        <v>-0.04</v>
      </c>
      <c r="D25" t="s">
        <v>150</v>
      </c>
      <c r="E25" t="s">
        <v>115</v>
      </c>
      <c r="F25">
        <v>0</v>
      </c>
      <c r="G25">
        <v>0</v>
      </c>
      <c r="H25" s="25">
        <v>0.25</v>
      </c>
      <c r="I25" s="3">
        <v>0</v>
      </c>
      <c r="J25" s="3">
        <v>1</v>
      </c>
      <c r="K25" s="3">
        <v>0</v>
      </c>
      <c r="L25" s="3">
        <v>0</v>
      </c>
      <c r="M25" s="3">
        <v>1</v>
      </c>
      <c r="N25" s="3">
        <v>0</v>
      </c>
      <c r="O25" s="3">
        <v>1</v>
      </c>
      <c r="P25" s="3">
        <v>0</v>
      </c>
      <c r="Q25" s="3">
        <v>0</v>
      </c>
      <c r="R25" s="3">
        <v>0</v>
      </c>
      <c r="S25" s="3">
        <v>0</v>
      </c>
      <c r="T25" s="6">
        <f t="shared" si="0"/>
        <v>0</v>
      </c>
      <c r="U25" t="s">
        <v>133</v>
      </c>
      <c r="V25" s="6">
        <v>0</v>
      </c>
      <c r="W25" s="6">
        <v>2</v>
      </c>
      <c r="X25" s="6">
        <v>2</v>
      </c>
      <c r="Y25" s="3">
        <v>1</v>
      </c>
      <c r="Z25" s="6">
        <v>2</v>
      </c>
      <c r="AA25" s="3">
        <v>93</v>
      </c>
      <c r="AB25" s="3">
        <v>4</v>
      </c>
      <c r="AC25" s="3">
        <v>5</v>
      </c>
      <c r="AD25" s="22">
        <v>2</v>
      </c>
      <c r="AE25" s="3">
        <v>3</v>
      </c>
      <c r="AF25" s="3">
        <v>2</v>
      </c>
      <c r="AG25" s="6">
        <v>0</v>
      </c>
      <c r="AH25" s="3">
        <v>1</v>
      </c>
      <c r="AI25" s="3">
        <v>1</v>
      </c>
      <c r="AJ25" s="3">
        <v>1</v>
      </c>
      <c r="AK25" s="3">
        <v>0</v>
      </c>
      <c r="AL25" s="3">
        <v>3</v>
      </c>
    </row>
    <row r="26" spans="1:38" x14ac:dyDescent="0.35">
      <c r="A26">
        <v>25</v>
      </c>
      <c r="B26" t="s">
        <v>66</v>
      </c>
      <c r="C26">
        <v>1.61</v>
      </c>
      <c r="D26" t="s">
        <v>114</v>
      </c>
      <c r="E26" t="s">
        <v>117</v>
      </c>
      <c r="F26">
        <v>1</v>
      </c>
      <c r="G26">
        <v>0</v>
      </c>
      <c r="H26" s="25">
        <v>0.5</v>
      </c>
      <c r="I26" s="3">
        <v>0</v>
      </c>
      <c r="J26" s="6">
        <v>1</v>
      </c>
      <c r="K26" s="6">
        <v>1</v>
      </c>
      <c r="L26" s="3">
        <v>0</v>
      </c>
      <c r="M26" s="3">
        <v>1</v>
      </c>
      <c r="N26" s="3">
        <v>0</v>
      </c>
      <c r="O26" s="3">
        <v>1</v>
      </c>
      <c r="P26" s="3">
        <v>0</v>
      </c>
      <c r="Q26" s="3">
        <v>0</v>
      </c>
      <c r="R26" s="3">
        <v>1</v>
      </c>
      <c r="S26" s="3">
        <v>0</v>
      </c>
      <c r="T26" s="6">
        <f t="shared" si="0"/>
        <v>0</v>
      </c>
      <c r="U26" t="s">
        <v>133</v>
      </c>
      <c r="V26" s="6">
        <v>1</v>
      </c>
      <c r="W26" s="6">
        <v>0</v>
      </c>
      <c r="X26" s="6">
        <v>0</v>
      </c>
      <c r="Y26">
        <v>1</v>
      </c>
      <c r="Z26" s="6">
        <v>3</v>
      </c>
      <c r="AA26">
        <v>66</v>
      </c>
      <c r="AB26" s="3">
        <v>5</v>
      </c>
      <c r="AC26">
        <v>5</v>
      </c>
      <c r="AD26" s="22">
        <v>3</v>
      </c>
      <c r="AE26">
        <v>3</v>
      </c>
      <c r="AF26">
        <v>2</v>
      </c>
      <c r="AG26" s="14">
        <v>2</v>
      </c>
      <c r="AH26">
        <v>1</v>
      </c>
      <c r="AI26">
        <v>1</v>
      </c>
      <c r="AJ26">
        <v>0</v>
      </c>
      <c r="AK26">
        <v>1</v>
      </c>
      <c r="AL26">
        <v>2</v>
      </c>
    </row>
    <row r="27" spans="1:38" x14ac:dyDescent="0.35">
      <c r="A27">
        <v>26</v>
      </c>
      <c r="B27" t="s">
        <v>64</v>
      </c>
      <c r="C27">
        <v>1.42</v>
      </c>
      <c r="D27" t="s">
        <v>150</v>
      </c>
      <c r="E27" t="s">
        <v>115</v>
      </c>
      <c r="F27">
        <v>1</v>
      </c>
      <c r="G27">
        <v>0</v>
      </c>
      <c r="H27" s="25">
        <v>0.75</v>
      </c>
      <c r="I27" s="3">
        <v>0</v>
      </c>
      <c r="J27" s="3">
        <v>0</v>
      </c>
      <c r="K27" s="3">
        <v>0</v>
      </c>
      <c r="L27" s="3">
        <v>0</v>
      </c>
      <c r="M27" s="3">
        <v>0</v>
      </c>
      <c r="N27" s="3">
        <v>0</v>
      </c>
      <c r="O27" s="3">
        <v>0</v>
      </c>
      <c r="P27" s="3">
        <v>0</v>
      </c>
      <c r="Q27" s="3">
        <v>0</v>
      </c>
      <c r="R27" s="3">
        <v>0</v>
      </c>
      <c r="S27" s="3">
        <v>0</v>
      </c>
      <c r="T27" s="6">
        <f t="shared" si="0"/>
        <v>1</v>
      </c>
      <c r="U27" t="s">
        <v>42</v>
      </c>
      <c r="V27" s="6">
        <v>1</v>
      </c>
      <c r="W27" s="6">
        <v>3</v>
      </c>
      <c r="X27" s="6">
        <v>2</v>
      </c>
      <c r="Y27" s="3">
        <v>2</v>
      </c>
      <c r="Z27" s="6">
        <v>3</v>
      </c>
      <c r="AA27" s="3">
        <v>23</v>
      </c>
      <c r="AB27" s="3">
        <v>0</v>
      </c>
      <c r="AC27" s="3">
        <v>5</v>
      </c>
      <c r="AD27" s="22">
        <v>4</v>
      </c>
      <c r="AE27" s="3">
        <v>4</v>
      </c>
      <c r="AF27" s="3">
        <v>2</v>
      </c>
      <c r="AG27" s="6">
        <v>0</v>
      </c>
      <c r="AH27" s="3">
        <v>1</v>
      </c>
      <c r="AI27" s="3">
        <v>1</v>
      </c>
      <c r="AJ27" s="3">
        <v>1</v>
      </c>
      <c r="AK27" s="3">
        <v>1</v>
      </c>
      <c r="AL27" s="3">
        <v>1</v>
      </c>
    </row>
    <row r="28" spans="1:38" s="14" customFormat="1" x14ac:dyDescent="0.35">
      <c r="A28" s="14">
        <v>27</v>
      </c>
      <c r="B28" s="14" t="s">
        <v>70</v>
      </c>
      <c r="C28" s="14">
        <v>-0.04</v>
      </c>
      <c r="D28" s="14" t="s">
        <v>137</v>
      </c>
      <c r="E28" s="14" t="s">
        <v>115</v>
      </c>
      <c r="F28" s="14">
        <v>1</v>
      </c>
      <c r="G28" s="14">
        <v>0</v>
      </c>
      <c r="H28" s="17">
        <v>0.5</v>
      </c>
      <c r="I28" s="6">
        <v>0</v>
      </c>
      <c r="J28" s="6">
        <v>0</v>
      </c>
      <c r="K28" s="6">
        <v>0</v>
      </c>
      <c r="L28" s="6">
        <v>0</v>
      </c>
      <c r="M28" s="6">
        <v>1</v>
      </c>
      <c r="N28" s="6">
        <v>0</v>
      </c>
      <c r="O28" s="6">
        <v>1</v>
      </c>
      <c r="P28" s="6">
        <v>0</v>
      </c>
      <c r="Q28" s="6">
        <v>0</v>
      </c>
      <c r="R28" s="6">
        <v>1</v>
      </c>
      <c r="S28" s="3">
        <v>0</v>
      </c>
      <c r="T28" s="6">
        <f t="shared" si="0"/>
        <v>0</v>
      </c>
      <c r="U28" s="14" t="s">
        <v>102</v>
      </c>
      <c r="V28" s="6">
        <v>0</v>
      </c>
      <c r="W28" s="6">
        <v>1</v>
      </c>
      <c r="X28" s="6">
        <v>0</v>
      </c>
      <c r="Y28" s="6">
        <v>1</v>
      </c>
      <c r="Z28" s="6">
        <v>3</v>
      </c>
      <c r="AA28" s="6">
        <v>14</v>
      </c>
      <c r="AB28" s="6">
        <v>4</v>
      </c>
      <c r="AC28" s="6">
        <v>5</v>
      </c>
      <c r="AD28" s="22">
        <v>3</v>
      </c>
      <c r="AE28" s="6">
        <v>1</v>
      </c>
      <c r="AF28" s="6">
        <v>2</v>
      </c>
      <c r="AG28" s="6">
        <v>1</v>
      </c>
      <c r="AH28" s="6">
        <v>2</v>
      </c>
      <c r="AI28" s="6">
        <v>1</v>
      </c>
      <c r="AJ28" s="6">
        <v>2</v>
      </c>
      <c r="AK28" s="6">
        <v>0</v>
      </c>
      <c r="AL28" s="6">
        <v>3</v>
      </c>
    </row>
    <row r="29" spans="1:38" x14ac:dyDescent="0.35">
      <c r="A29">
        <v>28</v>
      </c>
      <c r="B29" t="s">
        <v>70</v>
      </c>
      <c r="C29">
        <v>-0.04</v>
      </c>
      <c r="D29" t="s">
        <v>150</v>
      </c>
      <c r="E29" t="s">
        <v>117</v>
      </c>
      <c r="F29">
        <v>1</v>
      </c>
      <c r="G29">
        <v>0</v>
      </c>
      <c r="H29" s="25">
        <v>0</v>
      </c>
      <c r="I29" s="3">
        <v>0</v>
      </c>
      <c r="J29" s="3">
        <v>0</v>
      </c>
      <c r="K29" s="3">
        <v>0</v>
      </c>
      <c r="L29" s="3">
        <v>0</v>
      </c>
      <c r="M29" s="3">
        <v>1</v>
      </c>
      <c r="N29" s="3">
        <v>0</v>
      </c>
      <c r="O29" s="3">
        <v>1</v>
      </c>
      <c r="P29" s="3">
        <v>0</v>
      </c>
      <c r="Q29" s="3">
        <v>0</v>
      </c>
      <c r="R29" s="3">
        <v>1</v>
      </c>
      <c r="S29" s="3">
        <v>0</v>
      </c>
      <c r="T29" s="6">
        <f t="shared" si="0"/>
        <v>0</v>
      </c>
      <c r="U29" t="s">
        <v>42</v>
      </c>
      <c r="V29" s="6">
        <v>0</v>
      </c>
      <c r="W29" s="6">
        <v>2</v>
      </c>
      <c r="X29" s="6">
        <v>2</v>
      </c>
      <c r="Y29" s="3">
        <v>6</v>
      </c>
      <c r="Z29" s="6">
        <v>2</v>
      </c>
      <c r="AA29" s="3">
        <v>135</v>
      </c>
      <c r="AB29" s="3">
        <v>0</v>
      </c>
      <c r="AC29" s="3">
        <v>4</v>
      </c>
      <c r="AD29" s="22">
        <v>3</v>
      </c>
      <c r="AE29" s="3">
        <v>1</v>
      </c>
      <c r="AF29" s="3">
        <v>2</v>
      </c>
      <c r="AG29" s="6">
        <v>0</v>
      </c>
      <c r="AH29" s="3">
        <v>1</v>
      </c>
      <c r="AI29" s="3">
        <v>1</v>
      </c>
      <c r="AJ29" s="3">
        <v>2</v>
      </c>
      <c r="AK29" s="3">
        <v>0</v>
      </c>
      <c r="AL29" s="3">
        <v>3</v>
      </c>
    </row>
    <row r="30" spans="1:38" x14ac:dyDescent="0.35">
      <c r="A30">
        <v>29</v>
      </c>
      <c r="B30" t="s">
        <v>161</v>
      </c>
      <c r="C30">
        <v>1.47</v>
      </c>
      <c r="D30" t="s">
        <v>151</v>
      </c>
      <c r="E30" t="s">
        <v>118</v>
      </c>
      <c r="F30">
        <v>0</v>
      </c>
      <c r="G30">
        <v>0</v>
      </c>
      <c r="H30" s="25">
        <v>0.5</v>
      </c>
      <c r="I30" s="3">
        <v>0</v>
      </c>
      <c r="J30" s="3">
        <v>0</v>
      </c>
      <c r="K30" s="3">
        <v>0</v>
      </c>
      <c r="L30" s="3">
        <v>0</v>
      </c>
      <c r="M30" s="3">
        <v>1</v>
      </c>
      <c r="N30" s="3">
        <v>0</v>
      </c>
      <c r="O30" s="3">
        <v>1</v>
      </c>
      <c r="P30" s="3">
        <v>0</v>
      </c>
      <c r="Q30" s="3">
        <v>0</v>
      </c>
      <c r="R30" s="3">
        <v>1</v>
      </c>
      <c r="S30" s="3">
        <v>0</v>
      </c>
      <c r="T30" s="6">
        <f t="shared" si="0"/>
        <v>0</v>
      </c>
      <c r="U30" t="s">
        <v>42</v>
      </c>
      <c r="V30" s="6">
        <v>0</v>
      </c>
      <c r="W30" s="6">
        <v>2</v>
      </c>
      <c r="X30" s="6">
        <v>2</v>
      </c>
      <c r="Y30">
        <v>2</v>
      </c>
      <c r="Z30" s="6">
        <v>1</v>
      </c>
      <c r="AA30">
        <v>24</v>
      </c>
      <c r="AB30" s="3">
        <v>0</v>
      </c>
      <c r="AC30">
        <v>4</v>
      </c>
      <c r="AD30" s="22">
        <v>3</v>
      </c>
      <c r="AE30">
        <v>4</v>
      </c>
      <c r="AF30">
        <v>0</v>
      </c>
      <c r="AG30" s="14">
        <v>1</v>
      </c>
      <c r="AH30">
        <v>1</v>
      </c>
      <c r="AI30">
        <v>2</v>
      </c>
      <c r="AJ30">
        <v>2</v>
      </c>
      <c r="AK30">
        <v>0</v>
      </c>
      <c r="AL30">
        <v>2</v>
      </c>
    </row>
    <row r="31" spans="1:38" x14ac:dyDescent="0.35">
      <c r="A31">
        <v>30</v>
      </c>
      <c r="B31" t="s">
        <v>66</v>
      </c>
      <c r="C31">
        <v>1.61</v>
      </c>
      <c r="D31" t="s">
        <v>114</v>
      </c>
      <c r="E31" t="s">
        <v>121</v>
      </c>
      <c r="F31">
        <v>0</v>
      </c>
      <c r="G31">
        <v>0</v>
      </c>
      <c r="H31" s="25">
        <v>0.25</v>
      </c>
      <c r="I31" s="3">
        <v>0</v>
      </c>
      <c r="J31" s="6">
        <v>1</v>
      </c>
      <c r="K31" s="6">
        <v>0</v>
      </c>
      <c r="L31" s="3">
        <v>0</v>
      </c>
      <c r="M31" s="3">
        <v>1</v>
      </c>
      <c r="N31" s="3">
        <v>0</v>
      </c>
      <c r="O31" s="3">
        <v>1</v>
      </c>
      <c r="P31" s="3">
        <v>0</v>
      </c>
      <c r="Q31" s="3">
        <v>0</v>
      </c>
      <c r="R31" s="3">
        <v>1</v>
      </c>
      <c r="S31" s="3">
        <v>0</v>
      </c>
      <c r="T31" s="6">
        <f t="shared" si="0"/>
        <v>0</v>
      </c>
      <c r="U31" t="s">
        <v>12</v>
      </c>
      <c r="V31" s="6">
        <v>0</v>
      </c>
      <c r="W31" s="6">
        <v>0</v>
      </c>
      <c r="X31" s="6">
        <v>0</v>
      </c>
      <c r="Y31" s="3">
        <v>3</v>
      </c>
      <c r="Z31" s="6">
        <v>3</v>
      </c>
      <c r="AA31" s="3">
        <v>117</v>
      </c>
      <c r="AB31" s="3">
        <v>2</v>
      </c>
      <c r="AC31" s="3">
        <v>2</v>
      </c>
      <c r="AD31" s="22">
        <v>2</v>
      </c>
      <c r="AE31" s="3">
        <v>3</v>
      </c>
      <c r="AF31" s="3">
        <v>2</v>
      </c>
      <c r="AG31" s="6">
        <v>2</v>
      </c>
      <c r="AH31" s="3">
        <v>2</v>
      </c>
      <c r="AI31" s="3">
        <v>2</v>
      </c>
      <c r="AJ31" s="3">
        <v>2</v>
      </c>
      <c r="AK31" s="3">
        <v>1</v>
      </c>
      <c r="AL31" s="3">
        <v>1</v>
      </c>
    </row>
    <row r="32" spans="1:38" x14ac:dyDescent="0.35">
      <c r="A32">
        <v>31</v>
      </c>
      <c r="B32" t="s">
        <v>160</v>
      </c>
      <c r="C32">
        <v>0.44</v>
      </c>
      <c r="D32" t="s">
        <v>151</v>
      </c>
      <c r="E32" t="s">
        <v>117</v>
      </c>
      <c r="F32">
        <v>1</v>
      </c>
      <c r="G32">
        <v>0</v>
      </c>
      <c r="H32" s="25">
        <v>0.25</v>
      </c>
      <c r="I32" s="3">
        <v>0</v>
      </c>
      <c r="J32" s="3">
        <v>0</v>
      </c>
      <c r="K32" s="3">
        <v>0</v>
      </c>
      <c r="L32" s="3">
        <v>0</v>
      </c>
      <c r="M32" s="3">
        <v>0</v>
      </c>
      <c r="N32" s="3">
        <v>0</v>
      </c>
      <c r="O32" s="3">
        <v>1</v>
      </c>
      <c r="P32" s="3">
        <v>0</v>
      </c>
      <c r="Q32" s="3">
        <v>0</v>
      </c>
      <c r="R32" s="3">
        <v>0</v>
      </c>
      <c r="S32" s="3">
        <v>0</v>
      </c>
      <c r="T32" s="6">
        <f t="shared" si="0"/>
        <v>0</v>
      </c>
      <c r="U32" t="s">
        <v>42</v>
      </c>
      <c r="V32" s="6">
        <v>0</v>
      </c>
      <c r="W32" s="6">
        <v>0</v>
      </c>
      <c r="X32" s="6">
        <v>0</v>
      </c>
      <c r="Y32" s="3">
        <v>3</v>
      </c>
      <c r="Z32" s="6">
        <v>2</v>
      </c>
      <c r="AA32" s="3">
        <v>6</v>
      </c>
      <c r="AB32" s="3">
        <v>0</v>
      </c>
      <c r="AC32" s="3">
        <v>3</v>
      </c>
      <c r="AD32" s="22">
        <v>1</v>
      </c>
      <c r="AE32" s="3">
        <v>4</v>
      </c>
      <c r="AF32" s="3">
        <v>0</v>
      </c>
      <c r="AG32" s="6">
        <v>0</v>
      </c>
      <c r="AH32" s="3">
        <v>0</v>
      </c>
      <c r="AI32" s="3">
        <v>1</v>
      </c>
      <c r="AJ32" s="3">
        <v>1</v>
      </c>
      <c r="AK32" s="3">
        <v>2</v>
      </c>
      <c r="AL32" s="3">
        <v>0</v>
      </c>
    </row>
    <row r="33" spans="1:38" x14ac:dyDescent="0.35">
      <c r="A33">
        <v>32</v>
      </c>
      <c r="B33" t="s">
        <v>161</v>
      </c>
      <c r="C33">
        <v>1.47</v>
      </c>
      <c r="D33" t="s">
        <v>151</v>
      </c>
      <c r="E33" t="s">
        <v>118</v>
      </c>
      <c r="F33">
        <v>0</v>
      </c>
      <c r="G33">
        <v>0</v>
      </c>
      <c r="H33" s="25">
        <v>0</v>
      </c>
      <c r="I33" s="3">
        <v>0</v>
      </c>
      <c r="J33" s="3">
        <v>0</v>
      </c>
      <c r="K33" s="3">
        <v>0</v>
      </c>
      <c r="L33" s="3">
        <v>0</v>
      </c>
      <c r="M33" s="3">
        <v>1</v>
      </c>
      <c r="N33" s="3">
        <v>0</v>
      </c>
      <c r="O33" s="3">
        <v>1</v>
      </c>
      <c r="P33" s="3">
        <v>0</v>
      </c>
      <c r="Q33" s="3">
        <v>0</v>
      </c>
      <c r="R33" s="3">
        <v>1</v>
      </c>
      <c r="S33" s="3">
        <v>0</v>
      </c>
      <c r="T33" s="6">
        <f t="shared" si="0"/>
        <v>0</v>
      </c>
      <c r="U33" t="s">
        <v>12</v>
      </c>
      <c r="V33" s="6">
        <v>0</v>
      </c>
      <c r="W33" s="6">
        <v>0</v>
      </c>
      <c r="X33" s="6">
        <v>0</v>
      </c>
      <c r="Y33" s="3">
        <v>1</v>
      </c>
      <c r="Z33" s="6">
        <v>3</v>
      </c>
      <c r="AA33" s="3">
        <v>46</v>
      </c>
      <c r="AB33" s="3">
        <v>0</v>
      </c>
      <c r="AC33" s="3">
        <v>2</v>
      </c>
      <c r="AD33" s="22">
        <v>3</v>
      </c>
      <c r="AE33" s="3">
        <v>4</v>
      </c>
      <c r="AF33" s="3">
        <v>2</v>
      </c>
      <c r="AG33" s="6">
        <v>1</v>
      </c>
      <c r="AH33" s="3">
        <v>0</v>
      </c>
      <c r="AI33" s="3">
        <v>1</v>
      </c>
      <c r="AJ33" s="3">
        <v>2</v>
      </c>
      <c r="AK33" s="3">
        <v>1</v>
      </c>
      <c r="AL33" s="3">
        <v>2</v>
      </c>
    </row>
    <row r="34" spans="1:38" s="14" customFormat="1" x14ac:dyDescent="0.35">
      <c r="A34" s="14">
        <v>33</v>
      </c>
      <c r="B34" s="14" t="s">
        <v>160</v>
      </c>
      <c r="C34" s="14">
        <v>0.44</v>
      </c>
      <c r="D34" s="14" t="s">
        <v>124</v>
      </c>
      <c r="E34" s="14" t="s">
        <v>115</v>
      </c>
      <c r="F34" s="14">
        <v>1</v>
      </c>
      <c r="G34" s="14">
        <v>0</v>
      </c>
      <c r="H34" s="17">
        <v>0</v>
      </c>
      <c r="I34" s="6">
        <v>0</v>
      </c>
      <c r="J34" s="6">
        <v>0</v>
      </c>
      <c r="K34" s="6">
        <v>0</v>
      </c>
      <c r="L34" s="6">
        <v>0</v>
      </c>
      <c r="M34" s="6">
        <v>1</v>
      </c>
      <c r="N34" s="6">
        <v>0</v>
      </c>
      <c r="O34" s="6">
        <v>1</v>
      </c>
      <c r="P34" s="6">
        <v>0</v>
      </c>
      <c r="Q34" s="6">
        <v>1</v>
      </c>
      <c r="R34" s="6">
        <v>1</v>
      </c>
      <c r="S34" s="3">
        <v>0</v>
      </c>
      <c r="T34" s="6">
        <f t="shared" si="0"/>
        <v>0</v>
      </c>
      <c r="U34" s="14" t="s">
        <v>12</v>
      </c>
      <c r="V34" s="6">
        <v>0</v>
      </c>
      <c r="W34" s="6">
        <v>2</v>
      </c>
      <c r="X34" s="6">
        <v>2</v>
      </c>
      <c r="Y34" s="6">
        <v>1</v>
      </c>
      <c r="Z34" s="6">
        <v>4</v>
      </c>
      <c r="AA34" s="6">
        <v>12</v>
      </c>
      <c r="AB34" s="6">
        <v>1</v>
      </c>
      <c r="AC34" s="6">
        <v>3</v>
      </c>
      <c r="AD34" s="22">
        <v>1</v>
      </c>
      <c r="AE34" s="6">
        <v>1</v>
      </c>
      <c r="AF34" s="6">
        <v>2</v>
      </c>
      <c r="AG34" s="6">
        <v>2</v>
      </c>
      <c r="AH34" s="6">
        <v>3</v>
      </c>
      <c r="AI34" s="6">
        <v>3</v>
      </c>
      <c r="AJ34" s="6">
        <v>2</v>
      </c>
      <c r="AK34" s="6">
        <v>0</v>
      </c>
      <c r="AL34" s="6">
        <v>3</v>
      </c>
    </row>
    <row r="35" spans="1:38" x14ac:dyDescent="0.35">
      <c r="A35">
        <v>34</v>
      </c>
      <c r="B35" t="s">
        <v>66</v>
      </c>
      <c r="C35">
        <v>1.61</v>
      </c>
      <c r="D35" t="s">
        <v>114</v>
      </c>
      <c r="E35" t="s">
        <v>118</v>
      </c>
      <c r="F35">
        <v>1</v>
      </c>
      <c r="G35">
        <v>0</v>
      </c>
      <c r="H35" s="25">
        <v>0</v>
      </c>
      <c r="I35" s="3">
        <v>0</v>
      </c>
      <c r="J35" s="6">
        <v>0</v>
      </c>
      <c r="K35" s="6">
        <v>0</v>
      </c>
      <c r="L35" s="3">
        <v>0</v>
      </c>
      <c r="M35" s="3">
        <v>0</v>
      </c>
      <c r="N35" s="3">
        <v>0</v>
      </c>
      <c r="O35" s="3">
        <v>0</v>
      </c>
      <c r="P35" s="3">
        <v>0</v>
      </c>
      <c r="Q35" s="3">
        <v>0</v>
      </c>
      <c r="R35" s="3">
        <v>0</v>
      </c>
      <c r="S35" s="3">
        <v>0</v>
      </c>
      <c r="T35" s="6">
        <f t="shared" si="0"/>
        <v>1</v>
      </c>
      <c r="U35" t="s">
        <v>42</v>
      </c>
      <c r="V35" s="6">
        <v>0</v>
      </c>
      <c r="W35" s="6">
        <v>0</v>
      </c>
      <c r="X35" s="6">
        <v>0</v>
      </c>
      <c r="Y35" s="3">
        <v>1</v>
      </c>
      <c r="Z35" s="6">
        <v>2</v>
      </c>
      <c r="AA35" s="3">
        <v>1</v>
      </c>
      <c r="AB35" s="3">
        <v>1</v>
      </c>
      <c r="AC35" s="3">
        <v>5</v>
      </c>
      <c r="AD35" s="22">
        <v>2</v>
      </c>
      <c r="AE35" s="3">
        <v>4</v>
      </c>
      <c r="AF35" s="3">
        <v>0</v>
      </c>
      <c r="AG35" s="6">
        <v>0</v>
      </c>
      <c r="AH35" s="3">
        <v>0</v>
      </c>
      <c r="AI35" s="3">
        <v>1</v>
      </c>
      <c r="AJ35" s="3">
        <v>2</v>
      </c>
      <c r="AK35" s="3">
        <v>0</v>
      </c>
      <c r="AL35" s="3">
        <v>3</v>
      </c>
    </row>
    <row r="36" spans="1:38" x14ac:dyDescent="0.35">
      <c r="A36">
        <v>35</v>
      </c>
      <c r="B36" t="s">
        <v>70</v>
      </c>
      <c r="C36">
        <v>-0.04</v>
      </c>
      <c r="D36" t="s">
        <v>150</v>
      </c>
      <c r="E36" t="s">
        <v>115</v>
      </c>
      <c r="F36">
        <v>1</v>
      </c>
      <c r="G36">
        <v>0</v>
      </c>
      <c r="H36" s="25">
        <v>0</v>
      </c>
      <c r="I36" s="3">
        <v>0</v>
      </c>
      <c r="J36" s="3">
        <v>0</v>
      </c>
      <c r="K36" s="3">
        <v>0</v>
      </c>
      <c r="L36" s="3">
        <v>0</v>
      </c>
      <c r="M36" s="3">
        <v>1</v>
      </c>
      <c r="N36" s="3">
        <v>0</v>
      </c>
      <c r="O36" s="3">
        <v>1</v>
      </c>
      <c r="P36" s="3">
        <v>0</v>
      </c>
      <c r="Q36" s="3">
        <v>0</v>
      </c>
      <c r="R36" s="3">
        <v>1</v>
      </c>
      <c r="S36" s="3">
        <v>0</v>
      </c>
      <c r="T36" s="6">
        <f t="shared" si="0"/>
        <v>0</v>
      </c>
      <c r="U36" t="s">
        <v>12</v>
      </c>
      <c r="V36" s="6">
        <v>0</v>
      </c>
      <c r="W36" s="6">
        <v>2</v>
      </c>
      <c r="X36" s="6">
        <v>2</v>
      </c>
      <c r="Y36" s="3">
        <v>1</v>
      </c>
      <c r="Z36" s="6">
        <v>3</v>
      </c>
      <c r="AA36" s="3">
        <v>135</v>
      </c>
      <c r="AB36" s="3">
        <v>0</v>
      </c>
      <c r="AC36" s="3">
        <v>3</v>
      </c>
      <c r="AD36" s="22">
        <v>3</v>
      </c>
      <c r="AE36" s="3">
        <v>1</v>
      </c>
      <c r="AF36" s="3">
        <v>2</v>
      </c>
      <c r="AG36" s="6">
        <v>1</v>
      </c>
      <c r="AH36" s="3">
        <v>1</v>
      </c>
      <c r="AI36" s="3">
        <v>1</v>
      </c>
      <c r="AJ36" s="3">
        <v>2</v>
      </c>
      <c r="AK36" s="3">
        <v>1</v>
      </c>
      <c r="AL36" s="3">
        <v>2</v>
      </c>
    </row>
    <row r="37" spans="1:38" x14ac:dyDescent="0.35">
      <c r="A37">
        <v>36</v>
      </c>
      <c r="B37" t="s">
        <v>66</v>
      </c>
      <c r="C37">
        <v>1.61</v>
      </c>
      <c r="D37" t="s">
        <v>114</v>
      </c>
      <c r="E37" t="s">
        <v>118</v>
      </c>
      <c r="F37">
        <v>1</v>
      </c>
      <c r="G37">
        <v>1</v>
      </c>
      <c r="H37" s="25">
        <v>1</v>
      </c>
      <c r="I37" s="3">
        <v>1</v>
      </c>
      <c r="J37" s="6">
        <v>0</v>
      </c>
      <c r="K37" s="6">
        <v>1</v>
      </c>
      <c r="L37" s="3">
        <v>1</v>
      </c>
      <c r="M37" s="3">
        <v>0</v>
      </c>
      <c r="N37" s="3">
        <v>0</v>
      </c>
      <c r="O37" s="3">
        <v>0</v>
      </c>
      <c r="P37" s="6">
        <v>1</v>
      </c>
      <c r="Q37" s="6">
        <v>1</v>
      </c>
      <c r="R37" s="3">
        <v>0</v>
      </c>
      <c r="S37" s="3">
        <v>0</v>
      </c>
      <c r="T37" s="6">
        <f t="shared" si="0"/>
        <v>0</v>
      </c>
      <c r="U37" t="s">
        <v>13</v>
      </c>
      <c r="V37" s="6">
        <v>1</v>
      </c>
      <c r="W37" s="6">
        <v>0</v>
      </c>
      <c r="X37" s="6">
        <v>0</v>
      </c>
      <c r="Y37">
        <v>2</v>
      </c>
      <c r="Z37" s="6">
        <v>1</v>
      </c>
      <c r="AA37">
        <v>146</v>
      </c>
      <c r="AB37" s="3">
        <v>1</v>
      </c>
      <c r="AC37">
        <v>2</v>
      </c>
      <c r="AD37" s="22">
        <v>3</v>
      </c>
      <c r="AE37">
        <v>4</v>
      </c>
      <c r="AF37">
        <v>0</v>
      </c>
      <c r="AG37" s="14">
        <v>0</v>
      </c>
      <c r="AH37">
        <v>0</v>
      </c>
      <c r="AI37">
        <v>1</v>
      </c>
      <c r="AJ37">
        <v>2</v>
      </c>
      <c r="AK37">
        <v>1</v>
      </c>
      <c r="AL37">
        <v>3</v>
      </c>
    </row>
    <row r="38" spans="1:38" x14ac:dyDescent="0.35">
      <c r="A38">
        <v>37</v>
      </c>
      <c r="B38" t="s">
        <v>160</v>
      </c>
      <c r="C38">
        <v>0.44</v>
      </c>
      <c r="D38" t="s">
        <v>151</v>
      </c>
      <c r="E38" t="s">
        <v>116</v>
      </c>
      <c r="F38">
        <v>1</v>
      </c>
      <c r="G38">
        <v>0</v>
      </c>
      <c r="H38" s="25">
        <v>0</v>
      </c>
      <c r="I38" s="3">
        <v>0</v>
      </c>
      <c r="J38" s="3">
        <v>0</v>
      </c>
      <c r="K38" s="3">
        <v>0</v>
      </c>
      <c r="L38" s="3">
        <v>0</v>
      </c>
      <c r="M38" s="3">
        <v>1</v>
      </c>
      <c r="N38" s="3">
        <v>0</v>
      </c>
      <c r="O38" s="3">
        <v>1</v>
      </c>
      <c r="P38" s="3">
        <v>0</v>
      </c>
      <c r="Q38" s="3">
        <v>0</v>
      </c>
      <c r="R38" s="3">
        <v>0</v>
      </c>
      <c r="S38" s="3">
        <v>0</v>
      </c>
      <c r="T38" s="6">
        <f t="shared" si="0"/>
        <v>0</v>
      </c>
      <c r="U38" t="s">
        <v>12</v>
      </c>
      <c r="V38" s="6">
        <v>0</v>
      </c>
      <c r="W38" s="6">
        <v>2</v>
      </c>
      <c r="X38" s="6">
        <v>2</v>
      </c>
      <c r="Y38" s="3">
        <v>3</v>
      </c>
      <c r="Z38" s="6">
        <v>3</v>
      </c>
      <c r="AA38" s="3">
        <v>12</v>
      </c>
      <c r="AB38" s="3">
        <v>4</v>
      </c>
      <c r="AC38" s="3">
        <v>5</v>
      </c>
      <c r="AD38" s="22">
        <v>3</v>
      </c>
      <c r="AE38" s="3">
        <v>4</v>
      </c>
      <c r="AF38" s="3">
        <v>0</v>
      </c>
      <c r="AG38" s="6">
        <v>2</v>
      </c>
      <c r="AH38" s="3">
        <v>2</v>
      </c>
      <c r="AI38" s="3">
        <v>2</v>
      </c>
      <c r="AJ38" s="3">
        <v>2</v>
      </c>
      <c r="AK38" s="3">
        <v>0</v>
      </c>
      <c r="AL38" s="3">
        <v>3</v>
      </c>
    </row>
    <row r="39" spans="1:38" s="14" customFormat="1" x14ac:dyDescent="0.35">
      <c r="A39" s="14">
        <v>38</v>
      </c>
      <c r="B39" s="14" t="s">
        <v>160</v>
      </c>
      <c r="C39" s="14">
        <v>0.44</v>
      </c>
      <c r="D39" s="14" t="s">
        <v>124</v>
      </c>
      <c r="E39" s="14" t="s">
        <v>115</v>
      </c>
      <c r="F39" s="14">
        <v>1</v>
      </c>
      <c r="G39" s="14">
        <v>0</v>
      </c>
      <c r="H39" s="17">
        <v>0.75</v>
      </c>
      <c r="I39" s="6">
        <v>0</v>
      </c>
      <c r="J39" s="6">
        <v>0</v>
      </c>
      <c r="K39" s="6">
        <v>0</v>
      </c>
      <c r="L39" s="6">
        <v>0</v>
      </c>
      <c r="M39" s="6">
        <v>0</v>
      </c>
      <c r="N39" s="6">
        <v>0</v>
      </c>
      <c r="O39" s="6">
        <v>1</v>
      </c>
      <c r="P39" s="6">
        <v>0</v>
      </c>
      <c r="Q39" s="6">
        <v>0</v>
      </c>
      <c r="R39" s="6">
        <v>0</v>
      </c>
      <c r="S39" s="3">
        <v>0</v>
      </c>
      <c r="T39" s="6">
        <f t="shared" si="0"/>
        <v>0</v>
      </c>
      <c r="U39" s="14" t="s">
        <v>102</v>
      </c>
      <c r="V39" s="6">
        <v>0</v>
      </c>
      <c r="W39" s="6">
        <v>3</v>
      </c>
      <c r="X39" s="6">
        <v>3</v>
      </c>
      <c r="Y39" s="6">
        <v>1</v>
      </c>
      <c r="Z39" s="6">
        <v>2</v>
      </c>
      <c r="AA39" s="6">
        <v>14</v>
      </c>
      <c r="AB39" s="6">
        <v>1</v>
      </c>
      <c r="AC39" s="6">
        <v>5</v>
      </c>
      <c r="AD39" s="22">
        <v>3</v>
      </c>
      <c r="AE39" s="6">
        <v>3</v>
      </c>
      <c r="AF39" s="6">
        <v>0</v>
      </c>
      <c r="AG39" s="6">
        <v>1</v>
      </c>
      <c r="AH39" s="6">
        <v>1</v>
      </c>
      <c r="AI39" s="6">
        <v>1</v>
      </c>
      <c r="AJ39" s="6">
        <v>2</v>
      </c>
      <c r="AK39" s="6">
        <v>3</v>
      </c>
      <c r="AL39" s="6">
        <v>0</v>
      </c>
    </row>
    <row r="40" spans="1:38" x14ac:dyDescent="0.35">
      <c r="A40">
        <v>39</v>
      </c>
      <c r="B40" t="s">
        <v>70</v>
      </c>
      <c r="C40">
        <v>-0.04</v>
      </c>
      <c r="D40" t="s">
        <v>150</v>
      </c>
      <c r="E40" t="s">
        <v>115</v>
      </c>
      <c r="F40">
        <v>1</v>
      </c>
      <c r="G40">
        <v>0</v>
      </c>
      <c r="H40" s="25">
        <v>0</v>
      </c>
      <c r="I40" s="3">
        <v>0</v>
      </c>
      <c r="J40" s="3">
        <v>0</v>
      </c>
      <c r="K40" s="3">
        <v>1</v>
      </c>
      <c r="L40" s="3">
        <v>1</v>
      </c>
      <c r="M40" s="3">
        <v>1</v>
      </c>
      <c r="N40" s="3">
        <v>0</v>
      </c>
      <c r="O40" s="3">
        <v>1</v>
      </c>
      <c r="P40" s="3">
        <v>0</v>
      </c>
      <c r="Q40" s="3">
        <v>1</v>
      </c>
      <c r="R40" s="3">
        <v>1</v>
      </c>
      <c r="S40" s="3">
        <v>0</v>
      </c>
      <c r="T40" s="6">
        <f t="shared" si="0"/>
        <v>0</v>
      </c>
      <c r="U40" t="s">
        <v>12</v>
      </c>
      <c r="V40" s="6">
        <v>0</v>
      </c>
      <c r="W40" s="6">
        <v>2</v>
      </c>
      <c r="X40" s="6">
        <v>2</v>
      </c>
      <c r="Y40" s="3">
        <v>2</v>
      </c>
      <c r="Z40" s="6">
        <v>3</v>
      </c>
      <c r="AA40" s="3">
        <v>40</v>
      </c>
      <c r="AB40" s="3">
        <v>0</v>
      </c>
      <c r="AC40" s="3">
        <v>4</v>
      </c>
      <c r="AD40" s="22">
        <v>4</v>
      </c>
      <c r="AE40" s="3">
        <v>3</v>
      </c>
      <c r="AF40" s="3">
        <v>2</v>
      </c>
      <c r="AG40" s="6">
        <v>1</v>
      </c>
      <c r="AH40" s="3">
        <v>1</v>
      </c>
      <c r="AI40" s="3">
        <v>2</v>
      </c>
      <c r="AJ40" s="3">
        <v>2</v>
      </c>
      <c r="AK40" s="3">
        <v>0</v>
      </c>
      <c r="AL40" s="3">
        <v>2</v>
      </c>
    </row>
    <row r="41" spans="1:38" s="14" customFormat="1" x14ac:dyDescent="0.35">
      <c r="A41" s="14">
        <v>40</v>
      </c>
      <c r="B41" s="14" t="s">
        <v>160</v>
      </c>
      <c r="C41" s="14">
        <v>0.44</v>
      </c>
      <c r="D41" s="14" t="s">
        <v>137</v>
      </c>
      <c r="E41" s="14" t="s">
        <v>115</v>
      </c>
      <c r="F41" s="14">
        <v>1</v>
      </c>
      <c r="G41" s="14">
        <v>0</v>
      </c>
      <c r="H41" s="17">
        <v>0.75</v>
      </c>
      <c r="I41" s="6">
        <v>0</v>
      </c>
      <c r="J41" s="6">
        <v>0</v>
      </c>
      <c r="K41" s="6">
        <v>0</v>
      </c>
      <c r="L41" s="6">
        <v>0</v>
      </c>
      <c r="M41" s="6">
        <v>1</v>
      </c>
      <c r="N41" s="6">
        <v>0</v>
      </c>
      <c r="O41" s="6">
        <v>0</v>
      </c>
      <c r="P41" s="6">
        <v>0</v>
      </c>
      <c r="Q41" s="6">
        <v>1</v>
      </c>
      <c r="R41" s="6">
        <v>0</v>
      </c>
      <c r="S41" s="3">
        <v>0</v>
      </c>
      <c r="T41" s="6">
        <f t="shared" si="0"/>
        <v>0</v>
      </c>
      <c r="U41" s="14" t="s">
        <v>110</v>
      </c>
      <c r="V41" s="6">
        <v>0</v>
      </c>
      <c r="W41" s="6">
        <v>2</v>
      </c>
      <c r="X41" s="6">
        <v>0</v>
      </c>
      <c r="Y41" s="6">
        <v>1</v>
      </c>
      <c r="Z41" s="6">
        <v>1</v>
      </c>
      <c r="AA41" s="6">
        <v>6</v>
      </c>
      <c r="AB41" s="6">
        <v>0</v>
      </c>
      <c r="AC41" s="6">
        <v>3</v>
      </c>
      <c r="AD41" s="22">
        <v>2</v>
      </c>
      <c r="AE41" s="6">
        <v>4</v>
      </c>
      <c r="AF41" s="6">
        <v>1</v>
      </c>
      <c r="AG41" s="6">
        <v>0</v>
      </c>
      <c r="AH41" s="6">
        <v>0</v>
      </c>
      <c r="AI41" s="6">
        <v>1</v>
      </c>
      <c r="AJ41" s="6">
        <v>2</v>
      </c>
      <c r="AK41" s="6">
        <v>0</v>
      </c>
      <c r="AL41" s="6">
        <v>0</v>
      </c>
    </row>
    <row r="42" spans="1:38" x14ac:dyDescent="0.35">
      <c r="A42">
        <v>41</v>
      </c>
      <c r="B42" t="s">
        <v>66</v>
      </c>
      <c r="C42">
        <v>1.61</v>
      </c>
      <c r="D42" t="s">
        <v>114</v>
      </c>
      <c r="E42" t="s">
        <v>123</v>
      </c>
      <c r="F42">
        <v>0</v>
      </c>
      <c r="G42">
        <v>0</v>
      </c>
      <c r="H42" s="25">
        <v>0.25</v>
      </c>
      <c r="I42" s="3">
        <v>0</v>
      </c>
      <c r="J42" s="6">
        <v>0</v>
      </c>
      <c r="K42" s="6">
        <v>0</v>
      </c>
      <c r="L42" s="3">
        <v>0</v>
      </c>
      <c r="M42" s="3">
        <v>0</v>
      </c>
      <c r="N42" s="3">
        <v>0</v>
      </c>
      <c r="O42" s="3">
        <v>0</v>
      </c>
      <c r="P42" s="3">
        <v>0</v>
      </c>
      <c r="Q42" s="3">
        <v>0</v>
      </c>
      <c r="R42" s="3">
        <v>0</v>
      </c>
      <c r="S42" s="3">
        <v>0</v>
      </c>
      <c r="T42" s="6">
        <f t="shared" si="0"/>
        <v>1</v>
      </c>
      <c r="U42" t="s">
        <v>42</v>
      </c>
      <c r="V42" s="6">
        <v>2</v>
      </c>
      <c r="W42" s="6">
        <v>0</v>
      </c>
      <c r="X42" s="6">
        <v>0</v>
      </c>
      <c r="Y42" s="3">
        <v>2</v>
      </c>
      <c r="Z42" s="6">
        <v>1</v>
      </c>
      <c r="AA42" s="3">
        <v>109</v>
      </c>
      <c r="AB42" s="3">
        <v>0</v>
      </c>
      <c r="AC42" s="3">
        <v>1</v>
      </c>
      <c r="AD42" s="22">
        <v>2</v>
      </c>
      <c r="AE42" s="3">
        <v>4</v>
      </c>
      <c r="AF42" s="3">
        <v>0</v>
      </c>
      <c r="AG42" s="6">
        <v>0</v>
      </c>
      <c r="AH42" s="3">
        <v>0</v>
      </c>
      <c r="AI42" s="3">
        <v>1</v>
      </c>
      <c r="AJ42" s="3">
        <v>0</v>
      </c>
      <c r="AK42" s="3">
        <v>0</v>
      </c>
      <c r="AL42" s="3">
        <v>3</v>
      </c>
    </row>
    <row r="43" spans="1:38" x14ac:dyDescent="0.35">
      <c r="A43">
        <v>42</v>
      </c>
      <c r="B43" t="s">
        <v>66</v>
      </c>
      <c r="C43">
        <v>1.61</v>
      </c>
      <c r="D43" t="s">
        <v>114</v>
      </c>
      <c r="E43" t="s">
        <v>118</v>
      </c>
      <c r="F43">
        <v>1</v>
      </c>
      <c r="G43">
        <v>0</v>
      </c>
      <c r="H43" s="25">
        <v>0.25</v>
      </c>
      <c r="I43" s="3">
        <v>0</v>
      </c>
      <c r="J43" s="6">
        <v>0</v>
      </c>
      <c r="K43" s="6">
        <v>0</v>
      </c>
      <c r="L43" s="3">
        <v>0</v>
      </c>
      <c r="M43" s="3">
        <v>1</v>
      </c>
      <c r="N43" s="3">
        <v>0</v>
      </c>
      <c r="O43" s="3">
        <v>0</v>
      </c>
      <c r="P43" s="3">
        <v>0</v>
      </c>
      <c r="Q43" s="3">
        <v>0</v>
      </c>
      <c r="R43" s="3">
        <v>0</v>
      </c>
      <c r="S43" s="3">
        <v>0</v>
      </c>
      <c r="T43" s="6">
        <f t="shared" si="0"/>
        <v>0</v>
      </c>
      <c r="U43" t="s">
        <v>12</v>
      </c>
      <c r="V43" s="6">
        <v>1</v>
      </c>
      <c r="W43" s="6">
        <v>1</v>
      </c>
      <c r="X43" s="6">
        <v>1</v>
      </c>
      <c r="Y43" s="3">
        <v>3</v>
      </c>
      <c r="Z43" s="6">
        <v>2</v>
      </c>
      <c r="AA43" s="3">
        <v>6</v>
      </c>
      <c r="AB43" s="3">
        <v>0</v>
      </c>
      <c r="AC43" s="3">
        <v>2</v>
      </c>
      <c r="AD43" s="22">
        <v>2</v>
      </c>
      <c r="AE43" s="3">
        <v>4</v>
      </c>
      <c r="AF43" s="3">
        <v>2</v>
      </c>
      <c r="AG43" s="6">
        <v>4</v>
      </c>
      <c r="AH43" s="3">
        <v>1</v>
      </c>
      <c r="AI43" s="3">
        <v>3</v>
      </c>
      <c r="AJ43" s="3">
        <v>2</v>
      </c>
      <c r="AK43" s="3">
        <v>0</v>
      </c>
      <c r="AL43" s="3">
        <v>1</v>
      </c>
    </row>
    <row r="44" spans="1:38" s="14" customFormat="1" x14ac:dyDescent="0.35">
      <c r="A44" s="14">
        <v>43</v>
      </c>
      <c r="B44" s="14" t="s">
        <v>66</v>
      </c>
      <c r="C44" s="14">
        <v>1.61</v>
      </c>
      <c r="D44" s="14" t="s">
        <v>114</v>
      </c>
      <c r="E44" s="14" t="s">
        <v>115</v>
      </c>
      <c r="F44" s="14">
        <v>1</v>
      </c>
      <c r="G44" s="14">
        <v>0</v>
      </c>
      <c r="H44" s="17">
        <v>0</v>
      </c>
      <c r="I44" s="6">
        <v>0</v>
      </c>
      <c r="J44" s="6">
        <v>0</v>
      </c>
      <c r="K44" s="6">
        <v>0</v>
      </c>
      <c r="L44" s="6">
        <v>0</v>
      </c>
      <c r="M44" s="6">
        <v>1</v>
      </c>
      <c r="N44" s="6">
        <v>0</v>
      </c>
      <c r="O44" s="6">
        <v>1</v>
      </c>
      <c r="P44" s="6">
        <v>0</v>
      </c>
      <c r="Q44" s="6">
        <v>0</v>
      </c>
      <c r="R44" s="6">
        <v>0</v>
      </c>
      <c r="S44" s="3">
        <v>0</v>
      </c>
      <c r="T44" s="6">
        <f t="shared" si="0"/>
        <v>0</v>
      </c>
      <c r="U44" s="14" t="s">
        <v>102</v>
      </c>
      <c r="V44" s="6">
        <v>2</v>
      </c>
      <c r="W44" s="6">
        <v>0</v>
      </c>
      <c r="X44" s="6">
        <v>0</v>
      </c>
      <c r="Y44" s="6">
        <v>8</v>
      </c>
      <c r="Z44" s="6">
        <v>2</v>
      </c>
      <c r="AA44" s="6">
        <v>7</v>
      </c>
      <c r="AB44" s="6">
        <v>0</v>
      </c>
      <c r="AC44" s="6">
        <v>2</v>
      </c>
      <c r="AD44" s="22">
        <v>3</v>
      </c>
      <c r="AE44" s="6">
        <v>3</v>
      </c>
      <c r="AF44" s="6">
        <v>0</v>
      </c>
      <c r="AG44" s="6">
        <v>2</v>
      </c>
      <c r="AH44" s="6">
        <v>0</v>
      </c>
      <c r="AI44" s="6">
        <v>2</v>
      </c>
      <c r="AJ44" s="6">
        <v>2</v>
      </c>
      <c r="AK44" s="6">
        <v>0</v>
      </c>
      <c r="AL44" s="6">
        <v>2</v>
      </c>
    </row>
    <row r="45" spans="1:38" x14ac:dyDescent="0.35">
      <c r="A45">
        <v>44</v>
      </c>
      <c r="B45" t="s">
        <v>66</v>
      </c>
      <c r="C45">
        <v>1.61</v>
      </c>
      <c r="D45" t="s">
        <v>114</v>
      </c>
      <c r="E45" t="s">
        <v>117</v>
      </c>
      <c r="F45">
        <v>0</v>
      </c>
      <c r="G45">
        <v>0</v>
      </c>
      <c r="H45" s="25">
        <v>0.75</v>
      </c>
      <c r="I45" s="3">
        <v>0</v>
      </c>
      <c r="J45" s="6">
        <v>1</v>
      </c>
      <c r="K45" s="6">
        <v>0</v>
      </c>
      <c r="L45" s="3">
        <v>0</v>
      </c>
      <c r="M45" s="3">
        <v>1</v>
      </c>
      <c r="N45" s="3">
        <v>0</v>
      </c>
      <c r="O45" s="3">
        <v>1</v>
      </c>
      <c r="P45" s="3">
        <v>0</v>
      </c>
      <c r="Q45" s="3">
        <v>0</v>
      </c>
      <c r="R45" s="3">
        <v>1</v>
      </c>
      <c r="S45" s="3">
        <v>0</v>
      </c>
      <c r="T45" s="6">
        <f t="shared" si="0"/>
        <v>0</v>
      </c>
      <c r="U45" t="s">
        <v>12</v>
      </c>
      <c r="V45" s="6">
        <v>2</v>
      </c>
      <c r="W45" s="6">
        <v>0</v>
      </c>
      <c r="X45" s="6">
        <v>0</v>
      </c>
      <c r="Y45" s="3">
        <v>3</v>
      </c>
      <c r="Z45" s="6">
        <v>1</v>
      </c>
      <c r="AA45" s="3">
        <v>66</v>
      </c>
      <c r="AB45" s="3">
        <v>0</v>
      </c>
      <c r="AC45" s="3">
        <v>4</v>
      </c>
      <c r="AD45" s="22">
        <v>3</v>
      </c>
      <c r="AE45" s="3">
        <v>2</v>
      </c>
      <c r="AF45" s="3">
        <v>1</v>
      </c>
      <c r="AG45" s="6">
        <v>0</v>
      </c>
      <c r="AH45" s="3">
        <v>0</v>
      </c>
      <c r="AI45" s="3">
        <v>2</v>
      </c>
      <c r="AJ45" s="3">
        <v>2</v>
      </c>
      <c r="AK45" s="3">
        <v>0</v>
      </c>
      <c r="AL45" s="3">
        <v>2</v>
      </c>
    </row>
    <row r="46" spans="1:38" x14ac:dyDescent="0.35">
      <c r="A46">
        <v>45</v>
      </c>
      <c r="B46" s="14" t="s">
        <v>66</v>
      </c>
      <c r="C46">
        <v>1.61</v>
      </c>
      <c r="D46" t="s">
        <v>114</v>
      </c>
      <c r="E46" s="14" t="s">
        <v>118</v>
      </c>
      <c r="F46">
        <v>1</v>
      </c>
      <c r="G46">
        <v>0</v>
      </c>
      <c r="H46" s="25">
        <v>0.25</v>
      </c>
      <c r="I46" s="3">
        <v>0</v>
      </c>
      <c r="J46" s="3">
        <v>1</v>
      </c>
      <c r="K46" s="3">
        <v>0</v>
      </c>
      <c r="L46" s="3">
        <v>0</v>
      </c>
      <c r="M46" s="3">
        <v>1</v>
      </c>
      <c r="N46" s="3">
        <v>0</v>
      </c>
      <c r="O46" s="3">
        <v>1</v>
      </c>
      <c r="P46" s="3">
        <v>0</v>
      </c>
      <c r="Q46" s="3">
        <v>0</v>
      </c>
      <c r="R46" s="3">
        <v>1</v>
      </c>
      <c r="S46" s="3">
        <v>1</v>
      </c>
      <c r="T46" s="6">
        <f t="shared" si="0"/>
        <v>0</v>
      </c>
      <c r="U46" t="s">
        <v>106</v>
      </c>
      <c r="V46" s="6">
        <v>2</v>
      </c>
      <c r="W46" s="6">
        <v>0</v>
      </c>
      <c r="X46" s="6">
        <v>0</v>
      </c>
      <c r="Y46" s="3">
        <v>5</v>
      </c>
      <c r="AA46" s="3">
        <v>66</v>
      </c>
      <c r="AB46" s="14">
        <v>0</v>
      </c>
      <c r="AC46" s="14">
        <v>2</v>
      </c>
      <c r="AD46" s="22">
        <v>3</v>
      </c>
      <c r="AE46" s="3">
        <v>4</v>
      </c>
      <c r="AF46" s="3">
        <v>3</v>
      </c>
      <c r="AG46" s="14">
        <v>0</v>
      </c>
      <c r="AH46" s="3">
        <v>0</v>
      </c>
      <c r="AI46" s="14">
        <v>1</v>
      </c>
      <c r="AJ46" s="14">
        <v>2</v>
      </c>
      <c r="AK46" s="6"/>
      <c r="AL46" s="14">
        <v>3</v>
      </c>
    </row>
    <row r="47" spans="1:38" x14ac:dyDescent="0.35">
      <c r="A47">
        <v>46</v>
      </c>
      <c r="B47" t="s">
        <v>66</v>
      </c>
      <c r="C47">
        <v>1.61</v>
      </c>
      <c r="D47" t="s">
        <v>114</v>
      </c>
      <c r="E47" t="s">
        <v>118</v>
      </c>
      <c r="F47">
        <v>1</v>
      </c>
      <c r="G47">
        <v>0</v>
      </c>
      <c r="H47" s="25">
        <v>0.25</v>
      </c>
      <c r="I47" s="3">
        <v>0</v>
      </c>
      <c r="J47" s="6">
        <v>1</v>
      </c>
      <c r="K47" s="6">
        <v>0</v>
      </c>
      <c r="L47" s="3">
        <v>1</v>
      </c>
      <c r="M47" s="3">
        <v>0</v>
      </c>
      <c r="N47" s="3">
        <v>0</v>
      </c>
      <c r="O47" s="3">
        <v>1</v>
      </c>
      <c r="P47" s="3">
        <v>0</v>
      </c>
      <c r="Q47" s="3">
        <v>0</v>
      </c>
      <c r="R47" s="3">
        <v>1</v>
      </c>
      <c r="S47" s="3">
        <v>0</v>
      </c>
      <c r="T47" s="6">
        <f t="shared" si="0"/>
        <v>0</v>
      </c>
      <c r="U47" t="s">
        <v>133</v>
      </c>
      <c r="V47" s="6">
        <v>1</v>
      </c>
      <c r="W47" s="6">
        <v>3</v>
      </c>
      <c r="X47" s="6">
        <v>3</v>
      </c>
      <c r="Y47" s="3">
        <v>5</v>
      </c>
      <c r="Z47" s="6">
        <v>4</v>
      </c>
      <c r="AA47" s="3">
        <v>7</v>
      </c>
      <c r="AB47" s="3">
        <v>0</v>
      </c>
      <c r="AC47" s="3">
        <v>5</v>
      </c>
      <c r="AD47" s="22">
        <v>2</v>
      </c>
      <c r="AE47" s="3">
        <v>4</v>
      </c>
      <c r="AF47" s="3">
        <v>2</v>
      </c>
      <c r="AG47" s="6">
        <v>4</v>
      </c>
      <c r="AH47" s="3">
        <v>0</v>
      </c>
      <c r="AI47" s="3">
        <v>3</v>
      </c>
      <c r="AJ47" s="3">
        <v>2</v>
      </c>
      <c r="AK47" s="3">
        <v>0</v>
      </c>
      <c r="AL47" s="3">
        <v>3</v>
      </c>
    </row>
    <row r="48" spans="1:38" s="14" customFormat="1" x14ac:dyDescent="0.35">
      <c r="A48" s="14">
        <v>47</v>
      </c>
      <c r="B48" s="14" t="s">
        <v>70</v>
      </c>
      <c r="C48" s="14">
        <v>-0.04</v>
      </c>
      <c r="D48" s="14" t="s">
        <v>150</v>
      </c>
      <c r="E48" s="14" t="s">
        <v>115</v>
      </c>
      <c r="F48" s="14">
        <v>0</v>
      </c>
      <c r="G48" s="14">
        <v>0</v>
      </c>
      <c r="H48" s="17">
        <v>0</v>
      </c>
      <c r="I48" s="6">
        <v>0</v>
      </c>
      <c r="J48" s="6">
        <v>0</v>
      </c>
      <c r="K48" s="6">
        <v>0</v>
      </c>
      <c r="L48" s="6">
        <v>0</v>
      </c>
      <c r="M48" s="6">
        <v>0</v>
      </c>
      <c r="N48" s="6">
        <v>0</v>
      </c>
      <c r="O48" s="6">
        <v>1</v>
      </c>
      <c r="P48" s="6">
        <v>0</v>
      </c>
      <c r="Q48" s="6">
        <v>0</v>
      </c>
      <c r="R48" s="6">
        <v>1</v>
      </c>
      <c r="S48" s="3">
        <v>0</v>
      </c>
      <c r="T48" s="6">
        <f t="shared" si="0"/>
        <v>0</v>
      </c>
      <c r="U48" s="14" t="s">
        <v>102</v>
      </c>
      <c r="V48" s="6">
        <v>0</v>
      </c>
      <c r="W48" s="6">
        <v>1</v>
      </c>
      <c r="X48" s="6">
        <v>1</v>
      </c>
      <c r="Y48" s="6">
        <v>2</v>
      </c>
      <c r="Z48" s="6">
        <v>3</v>
      </c>
      <c r="AA48" s="6">
        <v>56</v>
      </c>
      <c r="AB48" s="6">
        <v>0</v>
      </c>
      <c r="AC48" s="6">
        <v>2</v>
      </c>
      <c r="AD48" s="22">
        <v>4</v>
      </c>
      <c r="AE48" s="6">
        <v>3</v>
      </c>
      <c r="AF48" s="6">
        <v>3</v>
      </c>
      <c r="AG48" s="6">
        <v>0</v>
      </c>
      <c r="AH48" s="6">
        <v>2</v>
      </c>
      <c r="AI48" s="6">
        <v>1</v>
      </c>
      <c r="AJ48" s="6">
        <v>2</v>
      </c>
      <c r="AK48" s="6">
        <v>1</v>
      </c>
      <c r="AL48" s="6">
        <v>3</v>
      </c>
    </row>
    <row r="49" spans="1:38" x14ac:dyDescent="0.35">
      <c r="A49">
        <v>48</v>
      </c>
      <c r="B49" t="s">
        <v>70</v>
      </c>
      <c r="C49">
        <v>-0.04</v>
      </c>
      <c r="D49" t="s">
        <v>150</v>
      </c>
      <c r="E49" t="s">
        <v>117</v>
      </c>
      <c r="F49">
        <v>0</v>
      </c>
      <c r="G49">
        <v>0</v>
      </c>
      <c r="H49" s="25">
        <v>0.25</v>
      </c>
      <c r="I49" s="3">
        <v>0</v>
      </c>
      <c r="J49" s="3">
        <v>0</v>
      </c>
      <c r="K49" s="3">
        <v>0</v>
      </c>
      <c r="L49" s="3">
        <v>0</v>
      </c>
      <c r="M49" s="3">
        <v>0</v>
      </c>
      <c r="N49" s="3">
        <v>0</v>
      </c>
      <c r="O49" s="3">
        <v>1</v>
      </c>
      <c r="P49" s="3">
        <v>0</v>
      </c>
      <c r="Q49" s="3">
        <v>0</v>
      </c>
      <c r="R49" s="3">
        <v>0</v>
      </c>
      <c r="S49" s="3">
        <v>0</v>
      </c>
      <c r="T49" s="6">
        <f t="shared" si="0"/>
        <v>0</v>
      </c>
      <c r="U49" t="s">
        <v>42</v>
      </c>
      <c r="V49" s="6">
        <v>0</v>
      </c>
      <c r="W49" s="6">
        <v>0</v>
      </c>
      <c r="X49" s="6">
        <v>0</v>
      </c>
      <c r="Y49" s="3">
        <v>2</v>
      </c>
      <c r="Z49" s="6">
        <v>3</v>
      </c>
      <c r="AA49" s="3">
        <v>56</v>
      </c>
      <c r="AB49" s="3">
        <v>4</v>
      </c>
      <c r="AC49" s="3">
        <v>5</v>
      </c>
      <c r="AD49" s="22">
        <v>2</v>
      </c>
      <c r="AE49" s="3">
        <v>3</v>
      </c>
      <c r="AF49" s="3">
        <v>2</v>
      </c>
      <c r="AG49" s="6">
        <v>0</v>
      </c>
      <c r="AH49" s="3">
        <v>2</v>
      </c>
      <c r="AI49" s="3">
        <v>1</v>
      </c>
      <c r="AJ49" s="3">
        <v>1</v>
      </c>
      <c r="AK49" s="3">
        <v>1</v>
      </c>
      <c r="AL49" s="3">
        <v>2</v>
      </c>
    </row>
    <row r="50" spans="1:38" s="14" customFormat="1" x14ac:dyDescent="0.35">
      <c r="A50" s="14">
        <v>49</v>
      </c>
      <c r="B50" s="14" t="s">
        <v>66</v>
      </c>
      <c r="C50" s="14">
        <v>1.61</v>
      </c>
      <c r="D50" s="14" t="s">
        <v>114</v>
      </c>
      <c r="E50" s="14" t="s">
        <v>117</v>
      </c>
      <c r="F50" s="14">
        <v>1</v>
      </c>
      <c r="G50" s="14">
        <v>0</v>
      </c>
      <c r="H50" s="17">
        <v>0.75</v>
      </c>
      <c r="I50" s="6">
        <v>0</v>
      </c>
      <c r="J50" s="6">
        <v>0</v>
      </c>
      <c r="K50" s="6">
        <v>0</v>
      </c>
      <c r="L50" s="6">
        <v>0</v>
      </c>
      <c r="M50" s="6">
        <v>1</v>
      </c>
      <c r="N50" s="6">
        <v>0</v>
      </c>
      <c r="O50" s="6">
        <v>1</v>
      </c>
      <c r="P50" s="6">
        <v>0</v>
      </c>
      <c r="Q50" s="6">
        <v>0</v>
      </c>
      <c r="R50" s="6">
        <v>0</v>
      </c>
      <c r="S50" s="3">
        <v>0</v>
      </c>
      <c r="T50" s="6">
        <f t="shared" si="0"/>
        <v>0</v>
      </c>
      <c r="U50" s="14" t="s">
        <v>102</v>
      </c>
      <c r="V50" s="6">
        <v>1</v>
      </c>
      <c r="W50" s="6">
        <v>0</v>
      </c>
      <c r="X50" s="6">
        <v>0</v>
      </c>
      <c r="Y50" s="6">
        <v>2</v>
      </c>
      <c r="Z50" s="6">
        <v>1</v>
      </c>
      <c r="AA50" s="6">
        <v>7</v>
      </c>
      <c r="AB50" s="6">
        <v>0</v>
      </c>
      <c r="AC50" s="6">
        <v>3</v>
      </c>
      <c r="AD50" s="22">
        <v>3</v>
      </c>
      <c r="AE50" s="6">
        <v>4</v>
      </c>
      <c r="AF50" s="6">
        <v>0</v>
      </c>
      <c r="AG50" s="6">
        <v>1</v>
      </c>
      <c r="AH50" s="6">
        <v>0</v>
      </c>
      <c r="AI50" s="6">
        <v>1</v>
      </c>
      <c r="AJ50" s="6">
        <v>1</v>
      </c>
      <c r="AK50" s="6">
        <v>1</v>
      </c>
      <c r="AL50" s="6">
        <v>2</v>
      </c>
    </row>
    <row r="51" spans="1:38" x14ac:dyDescent="0.35">
      <c r="A51">
        <v>50</v>
      </c>
      <c r="B51" t="s">
        <v>66</v>
      </c>
      <c r="C51">
        <v>1.61</v>
      </c>
      <c r="D51" t="s">
        <v>114</v>
      </c>
      <c r="E51" t="s">
        <v>117</v>
      </c>
      <c r="F51">
        <v>1</v>
      </c>
      <c r="G51">
        <v>1</v>
      </c>
      <c r="H51" s="25">
        <v>0.75</v>
      </c>
      <c r="I51" s="3">
        <v>1</v>
      </c>
      <c r="J51" s="6">
        <v>1</v>
      </c>
      <c r="K51" s="6">
        <v>1</v>
      </c>
      <c r="L51" s="3">
        <v>1</v>
      </c>
      <c r="M51" s="3">
        <v>1</v>
      </c>
      <c r="N51" s="3">
        <v>0</v>
      </c>
      <c r="O51" s="3">
        <v>0</v>
      </c>
      <c r="P51" s="3">
        <v>0</v>
      </c>
      <c r="Q51" s="3">
        <v>0</v>
      </c>
      <c r="R51" s="3">
        <v>0</v>
      </c>
      <c r="S51" s="3">
        <v>0</v>
      </c>
      <c r="T51" s="6">
        <f t="shared" si="0"/>
        <v>0</v>
      </c>
      <c r="U51" t="s">
        <v>11</v>
      </c>
      <c r="V51" s="6">
        <v>1</v>
      </c>
      <c r="W51" s="6">
        <v>3</v>
      </c>
      <c r="X51" s="6">
        <v>3</v>
      </c>
      <c r="Y51" s="3">
        <v>1</v>
      </c>
      <c r="Z51" s="6">
        <v>1</v>
      </c>
      <c r="AA51" s="3">
        <v>145</v>
      </c>
      <c r="AB51" s="3">
        <v>4</v>
      </c>
      <c r="AC51" s="3">
        <v>1</v>
      </c>
      <c r="AD51" s="22">
        <v>2</v>
      </c>
      <c r="AE51" s="3">
        <v>4</v>
      </c>
      <c r="AF51" s="3">
        <v>3</v>
      </c>
      <c r="AG51" s="6">
        <v>0</v>
      </c>
      <c r="AH51" s="3">
        <v>1</v>
      </c>
      <c r="AI51" s="3">
        <v>3</v>
      </c>
      <c r="AJ51" s="3">
        <v>2</v>
      </c>
      <c r="AK51" s="3">
        <v>2</v>
      </c>
      <c r="AL51" s="3">
        <v>2</v>
      </c>
    </row>
    <row r="52" spans="1:38" x14ac:dyDescent="0.35">
      <c r="A52">
        <v>51</v>
      </c>
      <c r="B52" t="s">
        <v>66</v>
      </c>
      <c r="C52">
        <v>1.61</v>
      </c>
      <c r="D52" t="s">
        <v>114</v>
      </c>
      <c r="E52" t="s">
        <v>117</v>
      </c>
      <c r="F52">
        <v>1</v>
      </c>
      <c r="G52">
        <v>0</v>
      </c>
      <c r="H52" s="25">
        <v>1</v>
      </c>
      <c r="I52" s="3">
        <v>0</v>
      </c>
      <c r="J52" s="6">
        <v>1</v>
      </c>
      <c r="K52" s="6">
        <v>1</v>
      </c>
      <c r="L52" s="3">
        <v>1</v>
      </c>
      <c r="M52" s="3">
        <v>1</v>
      </c>
      <c r="N52" s="3">
        <v>0</v>
      </c>
      <c r="O52" s="3">
        <v>1</v>
      </c>
      <c r="P52" s="3">
        <v>0</v>
      </c>
      <c r="Q52" s="3">
        <v>0</v>
      </c>
      <c r="R52" s="3">
        <v>1</v>
      </c>
      <c r="S52" s="3">
        <v>0</v>
      </c>
      <c r="T52" s="6">
        <f t="shared" si="0"/>
        <v>0</v>
      </c>
      <c r="U52" t="s">
        <v>133</v>
      </c>
      <c r="V52" s="6">
        <v>1</v>
      </c>
      <c r="W52" s="6">
        <v>0</v>
      </c>
      <c r="X52" s="6">
        <v>0</v>
      </c>
      <c r="Y52" s="3">
        <v>1</v>
      </c>
      <c r="Z52" s="6">
        <v>1</v>
      </c>
      <c r="AA52" s="3">
        <v>145</v>
      </c>
      <c r="AB52" s="3">
        <v>4</v>
      </c>
      <c r="AC52" s="3">
        <v>3</v>
      </c>
      <c r="AD52" s="22">
        <v>2</v>
      </c>
      <c r="AE52" s="3">
        <v>4</v>
      </c>
      <c r="AF52" s="3">
        <v>3</v>
      </c>
      <c r="AG52" s="6">
        <v>0</v>
      </c>
      <c r="AH52" s="3">
        <v>2</v>
      </c>
      <c r="AI52" s="3">
        <v>3</v>
      </c>
      <c r="AJ52" s="3">
        <v>2</v>
      </c>
      <c r="AK52" s="3">
        <v>2</v>
      </c>
      <c r="AL52" s="3">
        <v>2</v>
      </c>
    </row>
    <row r="53" spans="1:38" x14ac:dyDescent="0.35">
      <c r="A53">
        <v>52</v>
      </c>
      <c r="B53" t="s">
        <v>66</v>
      </c>
      <c r="C53">
        <v>1.61</v>
      </c>
      <c r="D53" t="s">
        <v>150</v>
      </c>
      <c r="E53" t="s">
        <v>115</v>
      </c>
      <c r="F53">
        <v>0</v>
      </c>
      <c r="G53">
        <v>0</v>
      </c>
      <c r="H53" s="25">
        <v>0</v>
      </c>
      <c r="I53" s="3">
        <v>0</v>
      </c>
      <c r="J53" s="6">
        <v>0</v>
      </c>
      <c r="K53" s="6">
        <v>0</v>
      </c>
      <c r="L53" s="3">
        <v>0</v>
      </c>
      <c r="M53" s="3">
        <v>0</v>
      </c>
      <c r="N53" s="3">
        <v>0</v>
      </c>
      <c r="O53" s="3">
        <v>0</v>
      </c>
      <c r="P53" s="3">
        <v>0</v>
      </c>
      <c r="Q53" s="3">
        <v>0</v>
      </c>
      <c r="R53" s="3">
        <v>0</v>
      </c>
      <c r="S53" s="3">
        <v>0</v>
      </c>
      <c r="T53" s="6">
        <f t="shared" si="0"/>
        <v>1</v>
      </c>
      <c r="U53" t="s">
        <v>42</v>
      </c>
      <c r="V53" s="6">
        <v>0</v>
      </c>
      <c r="W53" s="6">
        <v>0</v>
      </c>
      <c r="X53" s="6">
        <v>0</v>
      </c>
      <c r="Y53" s="3">
        <v>2</v>
      </c>
      <c r="Z53" s="6">
        <v>1</v>
      </c>
      <c r="AA53" s="3">
        <v>14</v>
      </c>
      <c r="AB53" s="3">
        <v>3</v>
      </c>
      <c r="AC53" s="3">
        <v>3</v>
      </c>
      <c r="AD53" s="22">
        <v>3</v>
      </c>
      <c r="AE53" s="3">
        <v>4</v>
      </c>
      <c r="AF53" s="3">
        <v>2</v>
      </c>
      <c r="AG53" s="6">
        <v>0</v>
      </c>
      <c r="AH53" s="3">
        <v>0</v>
      </c>
      <c r="AI53" s="3">
        <v>2</v>
      </c>
      <c r="AJ53" s="3">
        <v>2</v>
      </c>
      <c r="AK53" s="3">
        <v>0</v>
      </c>
      <c r="AL53" s="3">
        <v>3</v>
      </c>
    </row>
    <row r="54" spans="1:38" x14ac:dyDescent="0.35">
      <c r="A54">
        <v>53</v>
      </c>
      <c r="B54" t="s">
        <v>70</v>
      </c>
      <c r="C54">
        <v>-0.04</v>
      </c>
      <c r="D54" t="s">
        <v>150</v>
      </c>
      <c r="E54" t="s">
        <v>117</v>
      </c>
      <c r="F54">
        <v>1</v>
      </c>
      <c r="G54">
        <v>0</v>
      </c>
      <c r="H54" s="25">
        <v>0.75</v>
      </c>
      <c r="I54" s="3">
        <v>0</v>
      </c>
      <c r="J54" s="3">
        <v>1</v>
      </c>
      <c r="K54" s="3">
        <v>0</v>
      </c>
      <c r="L54" s="3">
        <v>0</v>
      </c>
      <c r="M54" s="3">
        <v>1</v>
      </c>
      <c r="N54" s="3">
        <v>0</v>
      </c>
      <c r="O54" s="3">
        <v>1</v>
      </c>
      <c r="P54" s="3">
        <v>0</v>
      </c>
      <c r="Q54" s="3">
        <v>0</v>
      </c>
      <c r="R54" s="3">
        <v>1</v>
      </c>
      <c r="S54" s="3">
        <v>1</v>
      </c>
      <c r="T54" s="6">
        <f t="shared" si="0"/>
        <v>0</v>
      </c>
      <c r="U54" t="s">
        <v>133</v>
      </c>
      <c r="V54" s="6">
        <v>0</v>
      </c>
      <c r="W54" s="6">
        <v>0</v>
      </c>
      <c r="X54" s="6">
        <v>0</v>
      </c>
      <c r="Y54" s="3">
        <v>3</v>
      </c>
      <c r="Z54" s="6">
        <v>4</v>
      </c>
      <c r="AA54" s="3">
        <v>60</v>
      </c>
      <c r="AB54" s="3">
        <v>4</v>
      </c>
      <c r="AC54" s="3">
        <v>5</v>
      </c>
      <c r="AD54" s="22">
        <v>3</v>
      </c>
      <c r="AE54" s="3">
        <v>1</v>
      </c>
      <c r="AF54" s="3">
        <v>0</v>
      </c>
      <c r="AG54" s="6">
        <v>0</v>
      </c>
      <c r="AH54" s="3">
        <v>0</v>
      </c>
      <c r="AI54" s="3">
        <v>1</v>
      </c>
      <c r="AJ54" s="3">
        <v>1</v>
      </c>
      <c r="AK54" s="3">
        <v>0</v>
      </c>
      <c r="AL54" s="3">
        <v>2</v>
      </c>
    </row>
    <row r="55" spans="1:38" x14ac:dyDescent="0.35">
      <c r="A55">
        <v>54</v>
      </c>
      <c r="B55" t="s">
        <v>70</v>
      </c>
      <c r="C55">
        <v>-0.04</v>
      </c>
      <c r="D55" t="s">
        <v>150</v>
      </c>
      <c r="E55" t="s">
        <v>115</v>
      </c>
      <c r="F55">
        <v>1</v>
      </c>
      <c r="G55">
        <v>0</v>
      </c>
      <c r="H55" s="25">
        <v>1</v>
      </c>
      <c r="I55" s="3">
        <v>0</v>
      </c>
      <c r="J55" s="3">
        <v>0</v>
      </c>
      <c r="K55" s="3">
        <v>0</v>
      </c>
      <c r="L55" s="3">
        <v>0</v>
      </c>
      <c r="M55" s="3">
        <v>1</v>
      </c>
      <c r="N55" s="3">
        <v>0</v>
      </c>
      <c r="O55" s="3">
        <v>1</v>
      </c>
      <c r="P55" s="3">
        <v>0</v>
      </c>
      <c r="Q55" s="3">
        <v>0</v>
      </c>
      <c r="R55" s="3">
        <v>1</v>
      </c>
      <c r="S55" s="3">
        <v>0</v>
      </c>
      <c r="T55" s="6">
        <f t="shared" si="0"/>
        <v>0</v>
      </c>
      <c r="U55" t="s">
        <v>12</v>
      </c>
      <c r="V55" s="6">
        <v>0</v>
      </c>
      <c r="W55" s="6">
        <v>2</v>
      </c>
      <c r="X55" s="6">
        <v>2</v>
      </c>
      <c r="Y55" s="3">
        <v>7</v>
      </c>
      <c r="Z55" s="6">
        <v>2</v>
      </c>
      <c r="AA55" s="3">
        <v>60</v>
      </c>
      <c r="AB55" s="3">
        <v>4</v>
      </c>
      <c r="AC55" s="3">
        <v>5</v>
      </c>
      <c r="AD55" s="22">
        <v>3</v>
      </c>
      <c r="AE55" s="3">
        <v>2</v>
      </c>
      <c r="AF55" s="3">
        <v>3</v>
      </c>
      <c r="AG55" s="6">
        <v>2</v>
      </c>
      <c r="AH55" s="3">
        <v>1</v>
      </c>
      <c r="AI55" s="3">
        <v>1</v>
      </c>
      <c r="AJ55" s="3">
        <v>2</v>
      </c>
      <c r="AK55" s="3">
        <v>2</v>
      </c>
      <c r="AL55" s="3">
        <v>3</v>
      </c>
    </row>
    <row r="56" spans="1:38" x14ac:dyDescent="0.35">
      <c r="A56">
        <v>55</v>
      </c>
      <c r="B56" t="s">
        <v>66</v>
      </c>
      <c r="C56">
        <v>1.61</v>
      </c>
      <c r="D56" t="s">
        <v>114</v>
      </c>
      <c r="E56" t="s">
        <v>117</v>
      </c>
      <c r="F56">
        <v>1</v>
      </c>
      <c r="G56">
        <v>0</v>
      </c>
      <c r="H56" s="25">
        <v>0.25</v>
      </c>
      <c r="I56" s="3">
        <v>0</v>
      </c>
      <c r="J56" s="6">
        <v>0</v>
      </c>
      <c r="K56" s="6">
        <v>0</v>
      </c>
      <c r="L56" s="3">
        <v>0</v>
      </c>
      <c r="M56" s="3">
        <v>0</v>
      </c>
      <c r="N56" s="3">
        <v>0</v>
      </c>
      <c r="O56" s="3">
        <v>0</v>
      </c>
      <c r="P56" s="3">
        <v>0</v>
      </c>
      <c r="Q56" s="3">
        <v>0</v>
      </c>
      <c r="R56" s="3">
        <v>1</v>
      </c>
      <c r="S56" s="3">
        <v>0</v>
      </c>
      <c r="T56" s="6">
        <f t="shared" si="0"/>
        <v>0</v>
      </c>
      <c r="U56" t="s">
        <v>42</v>
      </c>
      <c r="V56" s="6">
        <v>2</v>
      </c>
      <c r="W56" s="6">
        <v>3</v>
      </c>
      <c r="X56" s="6">
        <v>0</v>
      </c>
      <c r="Y56" s="3">
        <v>5</v>
      </c>
      <c r="Z56" s="6">
        <v>3</v>
      </c>
      <c r="AA56" s="3">
        <v>6</v>
      </c>
      <c r="AB56" s="3">
        <v>5</v>
      </c>
      <c r="AC56" s="3">
        <v>5</v>
      </c>
      <c r="AD56" s="22">
        <v>3</v>
      </c>
      <c r="AE56" s="3">
        <v>4</v>
      </c>
      <c r="AF56" s="3">
        <v>1</v>
      </c>
      <c r="AG56" s="6">
        <v>6</v>
      </c>
      <c r="AH56" s="3">
        <v>0</v>
      </c>
      <c r="AI56" s="3">
        <v>2</v>
      </c>
      <c r="AJ56" s="3">
        <v>2</v>
      </c>
      <c r="AK56" s="3">
        <v>0</v>
      </c>
      <c r="AL56" s="3">
        <v>3</v>
      </c>
    </row>
    <row r="57" spans="1:38" x14ac:dyDescent="0.35">
      <c r="A57">
        <v>56</v>
      </c>
      <c r="B57" t="s">
        <v>66</v>
      </c>
      <c r="C57">
        <v>1.61</v>
      </c>
      <c r="D57" t="s">
        <v>114</v>
      </c>
      <c r="E57" t="s">
        <v>116</v>
      </c>
      <c r="F57">
        <v>0</v>
      </c>
      <c r="G57">
        <v>1</v>
      </c>
      <c r="H57" s="25">
        <v>0.75</v>
      </c>
      <c r="I57" s="3">
        <v>0</v>
      </c>
      <c r="J57" s="6">
        <v>1</v>
      </c>
      <c r="K57" s="6">
        <v>0</v>
      </c>
      <c r="L57" s="3">
        <v>0</v>
      </c>
      <c r="M57" s="3">
        <v>0</v>
      </c>
      <c r="N57" s="3">
        <v>0</v>
      </c>
      <c r="O57" s="3">
        <v>1</v>
      </c>
      <c r="P57" s="3">
        <v>0</v>
      </c>
      <c r="Q57" s="3">
        <v>0</v>
      </c>
      <c r="R57" s="3">
        <v>0</v>
      </c>
      <c r="S57" s="3">
        <v>0</v>
      </c>
      <c r="T57" s="6">
        <f t="shared" si="0"/>
        <v>0</v>
      </c>
      <c r="U57" t="s">
        <v>133</v>
      </c>
      <c r="V57" s="6">
        <v>2</v>
      </c>
      <c r="W57" s="6">
        <v>0</v>
      </c>
      <c r="X57" s="6">
        <v>0</v>
      </c>
      <c r="Y57" s="3">
        <v>1</v>
      </c>
      <c r="Z57" s="6">
        <v>4</v>
      </c>
      <c r="AA57" s="3">
        <v>39</v>
      </c>
      <c r="AB57" s="3">
        <v>0</v>
      </c>
      <c r="AC57" s="3">
        <v>5</v>
      </c>
      <c r="AD57" s="22">
        <v>3</v>
      </c>
      <c r="AE57" s="3">
        <v>4</v>
      </c>
      <c r="AF57" s="3">
        <v>3</v>
      </c>
      <c r="AG57" s="6">
        <v>1</v>
      </c>
      <c r="AH57" s="3">
        <v>0</v>
      </c>
      <c r="AI57" s="3">
        <v>3</v>
      </c>
      <c r="AJ57" s="3">
        <v>1</v>
      </c>
      <c r="AK57" s="3">
        <v>0</v>
      </c>
      <c r="AL57" s="3">
        <v>3</v>
      </c>
    </row>
    <row r="58" spans="1:38" x14ac:dyDescent="0.35">
      <c r="A58">
        <v>57</v>
      </c>
      <c r="B58" t="s">
        <v>66</v>
      </c>
      <c r="C58">
        <v>1.61</v>
      </c>
      <c r="D58" t="s">
        <v>114</v>
      </c>
      <c r="E58" t="s">
        <v>117</v>
      </c>
      <c r="F58">
        <v>0</v>
      </c>
      <c r="G58">
        <v>0</v>
      </c>
      <c r="H58" s="25">
        <v>0.25</v>
      </c>
      <c r="I58" s="3">
        <v>0</v>
      </c>
      <c r="J58" s="6">
        <v>1</v>
      </c>
      <c r="K58" s="6">
        <v>1</v>
      </c>
      <c r="L58" s="3">
        <v>1</v>
      </c>
      <c r="M58" s="3">
        <v>0</v>
      </c>
      <c r="N58" s="3">
        <v>0</v>
      </c>
      <c r="O58" s="3">
        <v>0</v>
      </c>
      <c r="P58" s="3">
        <v>0</v>
      </c>
      <c r="Q58" s="3">
        <v>0</v>
      </c>
      <c r="R58" s="3">
        <v>1</v>
      </c>
      <c r="S58" s="3">
        <v>1</v>
      </c>
      <c r="T58" s="6">
        <f t="shared" si="0"/>
        <v>0</v>
      </c>
      <c r="U58" t="s">
        <v>134</v>
      </c>
      <c r="V58" s="6">
        <v>2</v>
      </c>
      <c r="W58" s="6">
        <v>0</v>
      </c>
      <c r="X58" s="6">
        <v>0</v>
      </c>
      <c r="Y58" s="3">
        <v>2</v>
      </c>
      <c r="Z58" s="6">
        <v>1</v>
      </c>
      <c r="AA58" s="3">
        <v>145</v>
      </c>
      <c r="AB58" s="3">
        <v>0</v>
      </c>
      <c r="AC58" s="3">
        <v>3</v>
      </c>
      <c r="AD58" s="22">
        <v>2</v>
      </c>
      <c r="AE58" s="3">
        <v>4</v>
      </c>
      <c r="AF58" s="3">
        <v>3</v>
      </c>
      <c r="AG58" s="6">
        <v>0</v>
      </c>
      <c r="AH58" s="3">
        <v>0</v>
      </c>
      <c r="AI58" s="3">
        <v>2</v>
      </c>
      <c r="AJ58" s="3">
        <v>2</v>
      </c>
      <c r="AK58" s="3">
        <v>1</v>
      </c>
      <c r="AL58" s="3">
        <v>2</v>
      </c>
    </row>
    <row r="59" spans="1:38" x14ac:dyDescent="0.35">
      <c r="A59">
        <v>58</v>
      </c>
      <c r="B59" t="s">
        <v>70</v>
      </c>
      <c r="C59">
        <v>-0.04</v>
      </c>
      <c r="D59" t="s">
        <v>150</v>
      </c>
      <c r="E59" t="s">
        <v>117</v>
      </c>
      <c r="F59">
        <v>0</v>
      </c>
      <c r="G59">
        <v>0</v>
      </c>
      <c r="H59" s="25">
        <v>0</v>
      </c>
      <c r="I59" s="3">
        <v>0</v>
      </c>
      <c r="J59" s="3">
        <v>0</v>
      </c>
      <c r="K59" s="3">
        <v>0</v>
      </c>
      <c r="L59" s="3">
        <v>0</v>
      </c>
      <c r="M59" s="3">
        <v>0</v>
      </c>
      <c r="N59" s="3">
        <v>0</v>
      </c>
      <c r="O59" s="3">
        <v>0</v>
      </c>
      <c r="P59" s="3">
        <v>0</v>
      </c>
      <c r="Q59" s="3">
        <v>0</v>
      </c>
      <c r="R59" s="3">
        <v>1</v>
      </c>
      <c r="S59" s="3">
        <v>0</v>
      </c>
      <c r="T59" s="6">
        <f t="shared" si="0"/>
        <v>0</v>
      </c>
      <c r="U59" t="s">
        <v>14</v>
      </c>
      <c r="V59" s="6">
        <v>0</v>
      </c>
      <c r="W59" s="6">
        <v>1</v>
      </c>
      <c r="X59" s="6">
        <v>1</v>
      </c>
      <c r="Y59" s="3">
        <v>3</v>
      </c>
      <c r="Z59" s="6">
        <v>1</v>
      </c>
      <c r="AA59" s="3">
        <v>60</v>
      </c>
      <c r="AB59" s="3">
        <v>2</v>
      </c>
      <c r="AC59" s="3">
        <v>4</v>
      </c>
      <c r="AD59" s="22">
        <v>4</v>
      </c>
      <c r="AE59" s="3">
        <v>2</v>
      </c>
      <c r="AF59" s="3">
        <v>2</v>
      </c>
      <c r="AG59" s="6">
        <v>1</v>
      </c>
      <c r="AH59" s="3">
        <v>1</v>
      </c>
      <c r="AI59" s="3">
        <v>1</v>
      </c>
      <c r="AJ59" s="3">
        <v>2</v>
      </c>
      <c r="AK59" s="3">
        <v>3</v>
      </c>
      <c r="AL59" s="3">
        <v>2</v>
      </c>
    </row>
    <row r="60" spans="1:38" s="14" customFormat="1" x14ac:dyDescent="0.35">
      <c r="A60" s="14">
        <v>59</v>
      </c>
      <c r="B60" s="14" t="s">
        <v>66</v>
      </c>
      <c r="C60" s="14">
        <v>1.61</v>
      </c>
      <c r="D60" s="14" t="s">
        <v>114</v>
      </c>
      <c r="E60" s="14" t="s">
        <v>118</v>
      </c>
      <c r="F60" s="14">
        <v>1</v>
      </c>
      <c r="G60" s="14">
        <v>0</v>
      </c>
      <c r="H60" s="17">
        <v>0</v>
      </c>
      <c r="I60" s="6">
        <v>0</v>
      </c>
      <c r="J60" s="6">
        <v>0</v>
      </c>
      <c r="K60" s="6">
        <v>0</v>
      </c>
      <c r="L60" s="6">
        <v>0</v>
      </c>
      <c r="M60" s="6">
        <v>0</v>
      </c>
      <c r="N60" s="6">
        <v>0</v>
      </c>
      <c r="O60" s="6">
        <v>0</v>
      </c>
      <c r="P60" s="6">
        <v>0</v>
      </c>
      <c r="Q60" s="6">
        <v>0</v>
      </c>
      <c r="R60" s="6">
        <v>0</v>
      </c>
      <c r="S60" s="6">
        <v>1</v>
      </c>
      <c r="T60" s="6">
        <f t="shared" si="0"/>
        <v>0</v>
      </c>
      <c r="U60" s="14" t="s">
        <v>106</v>
      </c>
      <c r="V60" s="6">
        <v>0</v>
      </c>
      <c r="W60" s="6">
        <v>0</v>
      </c>
      <c r="X60" s="6">
        <v>2</v>
      </c>
      <c r="Y60" s="6">
        <v>2</v>
      </c>
      <c r="Z60" s="6">
        <v>1</v>
      </c>
      <c r="AA60" s="6">
        <v>41</v>
      </c>
      <c r="AB60" s="6">
        <v>0</v>
      </c>
      <c r="AC60" s="6">
        <v>3</v>
      </c>
      <c r="AD60" s="22">
        <v>3</v>
      </c>
      <c r="AE60" s="6">
        <v>3</v>
      </c>
      <c r="AF60" s="6">
        <v>0</v>
      </c>
      <c r="AG60" s="6">
        <v>0</v>
      </c>
      <c r="AH60" s="6">
        <v>0</v>
      </c>
      <c r="AI60" s="6">
        <v>1</v>
      </c>
      <c r="AJ60" s="6">
        <v>2</v>
      </c>
      <c r="AK60" s="6">
        <v>1</v>
      </c>
      <c r="AL60" s="6">
        <v>2</v>
      </c>
    </row>
    <row r="61" spans="1:38" x14ac:dyDescent="0.35">
      <c r="A61">
        <v>60</v>
      </c>
      <c r="B61" t="s">
        <v>66</v>
      </c>
      <c r="C61">
        <v>1.61</v>
      </c>
      <c r="D61" t="s">
        <v>114</v>
      </c>
      <c r="E61" t="s">
        <v>117</v>
      </c>
      <c r="F61">
        <v>1</v>
      </c>
      <c r="G61">
        <v>1</v>
      </c>
      <c r="H61" s="25">
        <v>1</v>
      </c>
      <c r="I61" s="3">
        <v>0</v>
      </c>
      <c r="J61" s="6">
        <v>1</v>
      </c>
      <c r="K61" s="6">
        <v>0</v>
      </c>
      <c r="L61" s="3">
        <v>0</v>
      </c>
      <c r="M61" s="3">
        <v>0</v>
      </c>
      <c r="N61" s="3">
        <v>0</v>
      </c>
      <c r="O61" s="3">
        <v>0</v>
      </c>
      <c r="P61" s="6">
        <v>1</v>
      </c>
      <c r="Q61" s="6">
        <v>1</v>
      </c>
      <c r="R61" s="3">
        <v>0</v>
      </c>
      <c r="S61" s="3">
        <v>0</v>
      </c>
      <c r="T61" s="6">
        <f t="shared" si="0"/>
        <v>0</v>
      </c>
      <c r="U61" t="s">
        <v>42</v>
      </c>
      <c r="V61" s="6">
        <v>1</v>
      </c>
      <c r="W61" s="6">
        <v>3</v>
      </c>
      <c r="X61" s="6">
        <v>0</v>
      </c>
      <c r="Y61" s="3">
        <v>4</v>
      </c>
      <c r="Z61" s="6">
        <v>2</v>
      </c>
      <c r="AA61" s="3">
        <v>7</v>
      </c>
      <c r="AB61" s="3">
        <v>0</v>
      </c>
      <c r="AC61" s="3">
        <v>5</v>
      </c>
      <c r="AD61" s="22">
        <v>2</v>
      </c>
      <c r="AE61" s="3">
        <v>4</v>
      </c>
      <c r="AF61" s="3">
        <v>2</v>
      </c>
      <c r="AG61" s="6">
        <v>1</v>
      </c>
      <c r="AH61" s="3">
        <v>2</v>
      </c>
      <c r="AI61" s="3">
        <v>2</v>
      </c>
      <c r="AJ61" s="3">
        <v>1</v>
      </c>
      <c r="AK61" s="3">
        <v>3</v>
      </c>
      <c r="AL61" s="3">
        <v>3</v>
      </c>
    </row>
    <row r="62" spans="1:38" x14ac:dyDescent="0.35">
      <c r="A62">
        <v>61</v>
      </c>
      <c r="B62" t="s">
        <v>161</v>
      </c>
      <c r="C62">
        <v>1.47</v>
      </c>
      <c r="D62" t="s">
        <v>151</v>
      </c>
      <c r="E62" t="s">
        <v>115</v>
      </c>
      <c r="F62">
        <v>1</v>
      </c>
      <c r="G62">
        <v>0</v>
      </c>
      <c r="H62" s="25">
        <v>1</v>
      </c>
      <c r="I62" s="3">
        <v>0</v>
      </c>
      <c r="J62" s="3">
        <v>0</v>
      </c>
      <c r="K62" s="3">
        <v>0</v>
      </c>
      <c r="L62" s="3">
        <v>0</v>
      </c>
      <c r="M62" s="3">
        <v>0</v>
      </c>
      <c r="N62" s="3">
        <v>0</v>
      </c>
      <c r="O62" s="3">
        <v>0</v>
      </c>
      <c r="P62" s="3">
        <v>0</v>
      </c>
      <c r="Q62" s="3">
        <v>0</v>
      </c>
      <c r="R62" s="3">
        <v>0</v>
      </c>
      <c r="S62" s="3">
        <v>0</v>
      </c>
      <c r="T62" s="6">
        <f t="shared" si="0"/>
        <v>1</v>
      </c>
      <c r="U62" t="s">
        <v>42</v>
      </c>
      <c r="V62" s="6">
        <v>0</v>
      </c>
      <c r="W62" s="6">
        <v>2</v>
      </c>
      <c r="X62" s="6">
        <v>2</v>
      </c>
      <c r="Y62" s="3">
        <v>1</v>
      </c>
      <c r="Z62" s="6">
        <v>3</v>
      </c>
      <c r="AA62" s="3">
        <v>38</v>
      </c>
      <c r="AB62" s="3">
        <v>0</v>
      </c>
      <c r="AC62" s="3">
        <v>2</v>
      </c>
      <c r="AD62" s="22">
        <v>3</v>
      </c>
      <c r="AE62" s="3">
        <v>3</v>
      </c>
      <c r="AF62" s="3">
        <v>3</v>
      </c>
      <c r="AG62" s="6">
        <v>0</v>
      </c>
      <c r="AH62" s="3">
        <v>2</v>
      </c>
      <c r="AI62" s="3">
        <v>2</v>
      </c>
      <c r="AJ62" s="3">
        <v>2</v>
      </c>
      <c r="AK62" s="3">
        <v>0</v>
      </c>
      <c r="AL62" s="3">
        <v>2</v>
      </c>
    </row>
    <row r="63" spans="1:38" x14ac:dyDescent="0.35">
      <c r="A63">
        <v>62</v>
      </c>
      <c r="B63" t="s">
        <v>70</v>
      </c>
      <c r="C63">
        <v>-0.04</v>
      </c>
      <c r="D63" t="s">
        <v>125</v>
      </c>
      <c r="E63" t="s">
        <v>115</v>
      </c>
      <c r="F63">
        <v>1</v>
      </c>
      <c r="G63">
        <v>0</v>
      </c>
      <c r="H63" s="25">
        <v>0.25</v>
      </c>
      <c r="I63" s="3">
        <v>0</v>
      </c>
      <c r="J63" s="3">
        <v>0</v>
      </c>
      <c r="K63" s="3">
        <v>0</v>
      </c>
      <c r="L63" s="3">
        <v>0</v>
      </c>
      <c r="M63" s="3">
        <v>1</v>
      </c>
      <c r="N63" s="3">
        <v>0</v>
      </c>
      <c r="O63" s="3">
        <v>0</v>
      </c>
      <c r="P63" s="3">
        <v>0</v>
      </c>
      <c r="Q63" s="3">
        <v>0</v>
      </c>
      <c r="R63" s="3">
        <v>1</v>
      </c>
      <c r="S63" s="3">
        <v>0</v>
      </c>
      <c r="T63" s="6">
        <f t="shared" si="0"/>
        <v>0</v>
      </c>
      <c r="U63" t="s">
        <v>14</v>
      </c>
      <c r="V63" s="6">
        <v>0</v>
      </c>
      <c r="W63" s="6">
        <v>1</v>
      </c>
      <c r="X63" s="6">
        <v>1</v>
      </c>
      <c r="Y63" s="3">
        <v>2</v>
      </c>
      <c r="Z63" s="6">
        <v>3</v>
      </c>
      <c r="AA63" s="3">
        <v>60</v>
      </c>
      <c r="AB63" s="3">
        <v>2</v>
      </c>
      <c r="AC63" s="3">
        <v>1</v>
      </c>
      <c r="AD63" s="22">
        <v>4</v>
      </c>
      <c r="AE63" s="3">
        <v>4</v>
      </c>
      <c r="AF63" s="3">
        <v>2</v>
      </c>
      <c r="AG63" s="6">
        <v>1</v>
      </c>
      <c r="AH63" s="3">
        <v>0</v>
      </c>
      <c r="AI63" s="3">
        <v>1</v>
      </c>
      <c r="AJ63" s="3">
        <v>0</v>
      </c>
      <c r="AK63" s="3">
        <v>0</v>
      </c>
      <c r="AL63" s="3">
        <v>2</v>
      </c>
    </row>
    <row r="64" spans="1:38" x14ac:dyDescent="0.35">
      <c r="A64">
        <v>63</v>
      </c>
      <c r="B64" t="s">
        <v>70</v>
      </c>
      <c r="C64">
        <v>-0.04</v>
      </c>
      <c r="D64" t="s">
        <v>150</v>
      </c>
      <c r="E64" t="s">
        <v>115</v>
      </c>
      <c r="F64">
        <v>1</v>
      </c>
      <c r="G64">
        <v>0</v>
      </c>
      <c r="H64" s="25">
        <v>0.75</v>
      </c>
      <c r="I64" s="3">
        <v>0</v>
      </c>
      <c r="J64" s="3">
        <v>1</v>
      </c>
      <c r="K64" s="3">
        <v>0</v>
      </c>
      <c r="L64" s="3">
        <v>0</v>
      </c>
      <c r="M64" s="3">
        <v>1</v>
      </c>
      <c r="N64" s="3">
        <v>0</v>
      </c>
      <c r="O64" s="3">
        <v>1</v>
      </c>
      <c r="P64" s="3">
        <v>0</v>
      </c>
      <c r="Q64" s="3">
        <v>0</v>
      </c>
      <c r="R64" s="3">
        <v>1</v>
      </c>
      <c r="S64" s="3">
        <v>0</v>
      </c>
      <c r="T64" s="6">
        <f t="shared" si="0"/>
        <v>0</v>
      </c>
      <c r="U64" t="s">
        <v>133</v>
      </c>
      <c r="V64" s="6">
        <v>0</v>
      </c>
      <c r="W64" s="6">
        <v>0</v>
      </c>
      <c r="X64" s="6">
        <v>1</v>
      </c>
      <c r="Y64" s="3">
        <v>1</v>
      </c>
      <c r="Z64" s="6">
        <v>1</v>
      </c>
      <c r="AA64" s="3">
        <v>87</v>
      </c>
      <c r="AB64" s="3">
        <v>6</v>
      </c>
      <c r="AC64" s="3">
        <v>5</v>
      </c>
      <c r="AD64" s="22">
        <v>1</v>
      </c>
      <c r="AE64" s="3">
        <v>4</v>
      </c>
      <c r="AF64" s="3">
        <v>0</v>
      </c>
      <c r="AG64" s="6">
        <v>0</v>
      </c>
      <c r="AH64" s="3">
        <v>0</v>
      </c>
      <c r="AI64" s="3">
        <v>1</v>
      </c>
      <c r="AJ64" s="3">
        <v>0</v>
      </c>
      <c r="AK64" s="3">
        <v>0</v>
      </c>
      <c r="AL64" s="3">
        <v>0</v>
      </c>
    </row>
    <row r="65" spans="1:38" x14ac:dyDescent="0.35">
      <c r="A65">
        <v>64</v>
      </c>
      <c r="B65" t="s">
        <v>66</v>
      </c>
      <c r="C65">
        <v>1.61</v>
      </c>
      <c r="D65" t="s">
        <v>114</v>
      </c>
      <c r="E65" t="s">
        <v>118</v>
      </c>
      <c r="F65">
        <v>1</v>
      </c>
      <c r="G65">
        <v>0</v>
      </c>
      <c r="H65" s="25">
        <v>0.25</v>
      </c>
      <c r="I65" s="3">
        <v>0</v>
      </c>
      <c r="J65" s="6">
        <v>0</v>
      </c>
      <c r="K65" s="6">
        <v>0</v>
      </c>
      <c r="L65" s="3">
        <v>0</v>
      </c>
      <c r="M65" s="3">
        <v>0</v>
      </c>
      <c r="N65" s="3">
        <v>0</v>
      </c>
      <c r="O65" s="3">
        <v>0</v>
      </c>
      <c r="P65" s="3">
        <v>0</v>
      </c>
      <c r="Q65" s="3">
        <v>0</v>
      </c>
      <c r="R65" s="3">
        <v>0</v>
      </c>
      <c r="S65" s="3">
        <v>0</v>
      </c>
      <c r="T65" s="6">
        <f t="shared" si="0"/>
        <v>1</v>
      </c>
      <c r="U65" t="s">
        <v>42</v>
      </c>
      <c r="V65" s="6">
        <v>1</v>
      </c>
      <c r="W65" s="6">
        <v>2</v>
      </c>
      <c r="X65" s="6">
        <v>0</v>
      </c>
      <c r="Y65" s="3">
        <v>9</v>
      </c>
      <c r="Z65" s="6">
        <v>4</v>
      </c>
      <c r="AA65" s="3">
        <v>7</v>
      </c>
      <c r="AB65" s="3">
        <v>0</v>
      </c>
      <c r="AC65" s="3">
        <v>5</v>
      </c>
      <c r="AD65" s="22">
        <v>3</v>
      </c>
      <c r="AE65" s="3">
        <v>4</v>
      </c>
      <c r="AF65" s="3">
        <v>3</v>
      </c>
      <c r="AG65" s="6">
        <v>4</v>
      </c>
      <c r="AH65" s="3">
        <v>0</v>
      </c>
      <c r="AI65" s="3">
        <v>2</v>
      </c>
      <c r="AJ65" s="3">
        <v>1</v>
      </c>
      <c r="AK65" s="3">
        <v>1</v>
      </c>
      <c r="AL65" s="3">
        <v>3</v>
      </c>
    </row>
    <row r="66" spans="1:38" x14ac:dyDescent="0.35">
      <c r="A66">
        <v>65</v>
      </c>
      <c r="B66" t="s">
        <v>160</v>
      </c>
      <c r="C66">
        <v>0.44</v>
      </c>
      <c r="D66" t="s">
        <v>151</v>
      </c>
      <c r="E66" t="s">
        <v>118</v>
      </c>
      <c r="F66">
        <v>1</v>
      </c>
      <c r="G66">
        <v>0</v>
      </c>
      <c r="H66" s="25">
        <v>0.25</v>
      </c>
      <c r="I66" s="3">
        <v>0</v>
      </c>
      <c r="J66" s="3">
        <v>1</v>
      </c>
      <c r="K66" s="3">
        <v>1</v>
      </c>
      <c r="L66" s="3">
        <v>0</v>
      </c>
      <c r="M66" s="3">
        <v>1</v>
      </c>
      <c r="N66" s="3">
        <v>0</v>
      </c>
      <c r="O66" s="3">
        <v>1</v>
      </c>
      <c r="P66" s="3">
        <v>1</v>
      </c>
      <c r="Q66" s="3">
        <v>0</v>
      </c>
      <c r="R66" s="3">
        <v>1</v>
      </c>
      <c r="S66" s="3">
        <v>0</v>
      </c>
      <c r="T66" s="6">
        <f t="shared" ref="T66:T129" si="1">IF(SUM(I66:S66)=0,1,0)</f>
        <v>0</v>
      </c>
      <c r="U66" t="s">
        <v>134</v>
      </c>
      <c r="V66" s="6">
        <v>0</v>
      </c>
      <c r="W66" s="6">
        <v>2</v>
      </c>
      <c r="X66" s="6">
        <v>2</v>
      </c>
      <c r="Y66" s="3">
        <v>1</v>
      </c>
      <c r="Z66" s="6">
        <v>3</v>
      </c>
      <c r="AA66" s="3">
        <v>5</v>
      </c>
      <c r="AB66" s="3">
        <v>0</v>
      </c>
      <c r="AC66" s="3">
        <v>5</v>
      </c>
      <c r="AD66" s="22">
        <v>4</v>
      </c>
      <c r="AE66" s="3">
        <v>4</v>
      </c>
      <c r="AF66" s="3">
        <v>1</v>
      </c>
      <c r="AG66" s="6">
        <v>1</v>
      </c>
      <c r="AH66" s="3">
        <v>2</v>
      </c>
      <c r="AI66" s="3">
        <v>2</v>
      </c>
      <c r="AJ66" s="3">
        <v>1</v>
      </c>
      <c r="AK66" s="3">
        <v>2</v>
      </c>
      <c r="AL66" s="3">
        <v>2</v>
      </c>
    </row>
    <row r="67" spans="1:38" x14ac:dyDescent="0.35">
      <c r="A67">
        <v>66</v>
      </c>
      <c r="B67" t="s">
        <v>70</v>
      </c>
      <c r="C67">
        <v>-0.04</v>
      </c>
      <c r="D67" t="s">
        <v>151</v>
      </c>
      <c r="E67" t="s">
        <v>115</v>
      </c>
      <c r="F67">
        <v>1</v>
      </c>
      <c r="G67">
        <v>0</v>
      </c>
      <c r="H67" s="25">
        <v>0.25</v>
      </c>
      <c r="I67" s="3">
        <v>0</v>
      </c>
      <c r="J67" s="3">
        <v>0</v>
      </c>
      <c r="K67" s="3">
        <v>0</v>
      </c>
      <c r="L67" s="3">
        <v>0</v>
      </c>
      <c r="M67" s="3">
        <v>1</v>
      </c>
      <c r="N67" s="3">
        <v>0</v>
      </c>
      <c r="O67" s="3">
        <v>1</v>
      </c>
      <c r="P67" s="3">
        <v>0</v>
      </c>
      <c r="Q67" s="3">
        <v>1</v>
      </c>
      <c r="R67" s="3">
        <v>0</v>
      </c>
      <c r="S67" s="3">
        <v>0</v>
      </c>
      <c r="T67" s="6">
        <f t="shared" si="1"/>
        <v>0</v>
      </c>
      <c r="U67" t="s">
        <v>42</v>
      </c>
      <c r="V67" s="6">
        <v>1</v>
      </c>
      <c r="W67" s="6">
        <v>3</v>
      </c>
      <c r="X67" s="6">
        <v>3</v>
      </c>
      <c r="Y67" s="3">
        <v>2</v>
      </c>
      <c r="Z67" s="6">
        <v>2</v>
      </c>
      <c r="AA67" s="3">
        <v>40</v>
      </c>
      <c r="AB67" s="3">
        <v>0</v>
      </c>
      <c r="AC67" s="3">
        <v>4</v>
      </c>
      <c r="AD67" s="22">
        <v>4</v>
      </c>
      <c r="AE67" s="3">
        <v>3</v>
      </c>
      <c r="AF67" s="3">
        <v>2</v>
      </c>
      <c r="AG67" s="6">
        <v>2</v>
      </c>
      <c r="AH67" s="3">
        <v>2</v>
      </c>
      <c r="AI67" s="3">
        <v>1</v>
      </c>
      <c r="AJ67" s="3">
        <v>2</v>
      </c>
      <c r="AK67" s="3">
        <v>1</v>
      </c>
      <c r="AL67" s="3">
        <v>3</v>
      </c>
    </row>
    <row r="68" spans="1:38" x14ac:dyDescent="0.35">
      <c r="A68">
        <v>67</v>
      </c>
      <c r="B68" t="s">
        <v>160</v>
      </c>
      <c r="C68">
        <v>0.44</v>
      </c>
      <c r="D68" t="s">
        <v>124</v>
      </c>
      <c r="E68" t="s">
        <v>118</v>
      </c>
      <c r="F68">
        <v>1</v>
      </c>
      <c r="G68">
        <v>0</v>
      </c>
      <c r="H68" s="25">
        <v>0.25</v>
      </c>
      <c r="I68" s="3">
        <v>0</v>
      </c>
      <c r="J68" s="3">
        <v>1</v>
      </c>
      <c r="K68" s="3">
        <v>1</v>
      </c>
      <c r="L68" s="3">
        <v>0</v>
      </c>
      <c r="M68" s="3">
        <v>1</v>
      </c>
      <c r="N68" s="3">
        <v>0</v>
      </c>
      <c r="O68" s="3">
        <v>0</v>
      </c>
      <c r="P68" s="3">
        <v>0</v>
      </c>
      <c r="Q68" s="3">
        <v>0</v>
      </c>
      <c r="R68" s="3">
        <v>0</v>
      </c>
      <c r="S68" s="3">
        <v>0</v>
      </c>
      <c r="T68" s="6">
        <f t="shared" si="1"/>
        <v>0</v>
      </c>
      <c r="U68" t="s">
        <v>134</v>
      </c>
      <c r="V68" s="6">
        <v>1</v>
      </c>
      <c r="W68" s="6">
        <v>0</v>
      </c>
      <c r="X68" s="6">
        <v>0</v>
      </c>
      <c r="Y68" s="3">
        <v>3</v>
      </c>
      <c r="Z68" s="6">
        <v>1</v>
      </c>
      <c r="AA68" s="3">
        <v>11</v>
      </c>
      <c r="AB68" s="3">
        <v>0</v>
      </c>
      <c r="AC68" s="3">
        <v>4</v>
      </c>
      <c r="AD68" s="22">
        <v>3</v>
      </c>
      <c r="AE68" s="3">
        <v>4</v>
      </c>
      <c r="AF68" s="3">
        <v>0</v>
      </c>
      <c r="AG68" s="6">
        <v>2</v>
      </c>
      <c r="AH68" s="3">
        <v>0</v>
      </c>
      <c r="AI68" s="3">
        <v>1</v>
      </c>
      <c r="AJ68" s="3">
        <v>0</v>
      </c>
      <c r="AK68" s="3">
        <v>3</v>
      </c>
      <c r="AL68" s="3">
        <v>1</v>
      </c>
    </row>
    <row r="69" spans="1:38" x14ac:dyDescent="0.35">
      <c r="A69">
        <v>68</v>
      </c>
      <c r="B69" t="s">
        <v>70</v>
      </c>
      <c r="C69">
        <v>-0.04</v>
      </c>
      <c r="D69" t="s">
        <v>150</v>
      </c>
      <c r="E69" t="s">
        <v>115</v>
      </c>
      <c r="F69">
        <v>1</v>
      </c>
      <c r="G69">
        <v>0</v>
      </c>
      <c r="H69" s="25">
        <v>0</v>
      </c>
      <c r="I69" s="3">
        <v>0</v>
      </c>
      <c r="J69" s="3">
        <v>0</v>
      </c>
      <c r="K69" s="3">
        <v>1</v>
      </c>
      <c r="L69" s="3">
        <v>0</v>
      </c>
      <c r="M69" s="3">
        <v>1</v>
      </c>
      <c r="N69" s="3">
        <v>0</v>
      </c>
      <c r="O69" s="3">
        <v>1</v>
      </c>
      <c r="P69" s="3">
        <v>0</v>
      </c>
      <c r="Q69" s="3">
        <v>1</v>
      </c>
      <c r="R69" s="3">
        <v>0</v>
      </c>
      <c r="S69" s="3">
        <v>1</v>
      </c>
      <c r="T69" s="6">
        <f t="shared" si="1"/>
        <v>0</v>
      </c>
      <c r="U69" t="s">
        <v>110</v>
      </c>
      <c r="V69" s="6">
        <v>0</v>
      </c>
      <c r="W69" s="6">
        <v>2</v>
      </c>
      <c r="X69" s="6">
        <v>2</v>
      </c>
      <c r="Y69" s="3">
        <v>1</v>
      </c>
      <c r="AA69" s="3">
        <v>40</v>
      </c>
      <c r="AB69" s="3">
        <v>0</v>
      </c>
      <c r="AC69" s="3">
        <v>4</v>
      </c>
      <c r="AD69" s="22">
        <v>3</v>
      </c>
      <c r="AE69" s="3">
        <v>2</v>
      </c>
      <c r="AF69" s="3">
        <v>1</v>
      </c>
      <c r="AG69" s="6">
        <v>1</v>
      </c>
      <c r="AH69" s="3">
        <v>1</v>
      </c>
      <c r="AI69" s="3">
        <v>1</v>
      </c>
      <c r="AJ69" s="3">
        <v>2</v>
      </c>
      <c r="AK69" s="3">
        <v>2</v>
      </c>
      <c r="AL69" s="3">
        <v>1</v>
      </c>
    </row>
    <row r="70" spans="1:38" x14ac:dyDescent="0.35">
      <c r="A70">
        <v>69</v>
      </c>
      <c r="B70" t="s">
        <v>66</v>
      </c>
      <c r="C70">
        <v>1.61</v>
      </c>
      <c r="D70" t="s">
        <v>114</v>
      </c>
      <c r="E70" t="s">
        <v>118</v>
      </c>
      <c r="F70">
        <v>1</v>
      </c>
      <c r="G70">
        <v>1</v>
      </c>
      <c r="H70" s="25">
        <v>1</v>
      </c>
      <c r="I70" s="3">
        <v>0</v>
      </c>
      <c r="J70" s="6">
        <v>1</v>
      </c>
      <c r="K70" s="6">
        <v>1</v>
      </c>
      <c r="L70" s="3">
        <v>1</v>
      </c>
      <c r="M70" s="3">
        <v>1</v>
      </c>
      <c r="N70" s="3">
        <v>0</v>
      </c>
      <c r="O70" s="3">
        <v>1</v>
      </c>
      <c r="P70" s="6">
        <v>1</v>
      </c>
      <c r="Q70" s="6">
        <v>0</v>
      </c>
      <c r="R70" s="3">
        <v>1</v>
      </c>
      <c r="S70" s="3">
        <v>0</v>
      </c>
      <c r="T70" s="6">
        <f t="shared" si="1"/>
        <v>0</v>
      </c>
      <c r="U70" t="s">
        <v>134</v>
      </c>
      <c r="V70" s="6">
        <v>0</v>
      </c>
      <c r="W70" s="6">
        <v>3</v>
      </c>
      <c r="X70" s="6">
        <v>3</v>
      </c>
      <c r="Y70" s="3">
        <v>9</v>
      </c>
      <c r="Z70" s="6">
        <v>4</v>
      </c>
      <c r="AA70" s="3">
        <v>7</v>
      </c>
      <c r="AB70" s="3">
        <v>2</v>
      </c>
      <c r="AC70" s="3">
        <v>4</v>
      </c>
      <c r="AD70" s="22">
        <v>3</v>
      </c>
      <c r="AE70" s="3">
        <v>3</v>
      </c>
      <c r="AF70" s="3">
        <v>3</v>
      </c>
      <c r="AG70" s="6">
        <v>3</v>
      </c>
      <c r="AH70" s="3">
        <v>2</v>
      </c>
      <c r="AI70" s="3">
        <v>3</v>
      </c>
      <c r="AJ70" s="3">
        <v>2</v>
      </c>
      <c r="AK70" s="3">
        <v>1</v>
      </c>
      <c r="AL70" s="3">
        <v>2</v>
      </c>
    </row>
    <row r="71" spans="1:38" x14ac:dyDescent="0.35">
      <c r="A71">
        <v>70</v>
      </c>
      <c r="B71" t="s">
        <v>66</v>
      </c>
      <c r="C71">
        <v>1.61</v>
      </c>
      <c r="D71" t="s">
        <v>114</v>
      </c>
      <c r="E71" t="s">
        <v>117</v>
      </c>
      <c r="F71">
        <v>0</v>
      </c>
      <c r="G71">
        <v>0</v>
      </c>
      <c r="H71" s="25">
        <v>0.5</v>
      </c>
      <c r="I71" s="3">
        <v>0</v>
      </c>
      <c r="J71" s="6">
        <v>1</v>
      </c>
      <c r="K71" s="6">
        <v>1</v>
      </c>
      <c r="L71" s="3">
        <v>1</v>
      </c>
      <c r="M71" s="3">
        <v>0</v>
      </c>
      <c r="N71" s="3">
        <v>0</v>
      </c>
      <c r="O71" s="3">
        <v>1</v>
      </c>
      <c r="P71" s="3">
        <v>0</v>
      </c>
      <c r="Q71" s="3">
        <v>0</v>
      </c>
      <c r="R71" s="3">
        <v>1</v>
      </c>
      <c r="S71" s="3">
        <v>1</v>
      </c>
      <c r="T71" s="6">
        <f t="shared" si="1"/>
        <v>0</v>
      </c>
      <c r="U71" t="s">
        <v>135</v>
      </c>
      <c r="V71" s="6">
        <v>1</v>
      </c>
      <c r="W71" s="6">
        <v>3</v>
      </c>
      <c r="X71" s="6">
        <v>0</v>
      </c>
      <c r="Y71" s="3">
        <v>9</v>
      </c>
      <c r="Z71" s="6">
        <v>2</v>
      </c>
      <c r="AA71" s="3">
        <v>7</v>
      </c>
      <c r="AB71" s="3">
        <v>2</v>
      </c>
      <c r="AC71" s="3">
        <v>5</v>
      </c>
      <c r="AD71" s="22">
        <v>3</v>
      </c>
      <c r="AE71" s="3">
        <v>4</v>
      </c>
      <c r="AF71" s="3">
        <v>2</v>
      </c>
      <c r="AG71" s="6">
        <v>5</v>
      </c>
      <c r="AH71" s="3">
        <v>0</v>
      </c>
      <c r="AI71" s="3">
        <v>3</v>
      </c>
      <c r="AJ71" s="3">
        <v>2</v>
      </c>
      <c r="AK71" s="3">
        <v>2</v>
      </c>
      <c r="AL71" s="3">
        <v>3</v>
      </c>
    </row>
    <row r="72" spans="1:38" x14ac:dyDescent="0.35">
      <c r="A72">
        <v>71</v>
      </c>
      <c r="B72" t="s">
        <v>66</v>
      </c>
      <c r="C72">
        <v>1.61</v>
      </c>
      <c r="D72" t="s">
        <v>114</v>
      </c>
      <c r="E72" t="s">
        <v>116</v>
      </c>
      <c r="F72">
        <v>1</v>
      </c>
      <c r="G72">
        <v>1</v>
      </c>
      <c r="H72" s="25">
        <v>1</v>
      </c>
      <c r="I72" s="3">
        <v>0</v>
      </c>
      <c r="J72" s="6">
        <v>0</v>
      </c>
      <c r="K72" s="6">
        <v>0</v>
      </c>
      <c r="L72" s="3">
        <v>0</v>
      </c>
      <c r="M72" s="3">
        <v>0</v>
      </c>
      <c r="N72" s="3">
        <v>0</v>
      </c>
      <c r="O72" s="3">
        <v>1</v>
      </c>
      <c r="P72" s="6">
        <v>1</v>
      </c>
      <c r="Q72" s="6">
        <v>0</v>
      </c>
      <c r="R72" s="3">
        <v>1</v>
      </c>
      <c r="S72" s="3">
        <v>0</v>
      </c>
      <c r="T72" s="6">
        <f t="shared" si="1"/>
        <v>0</v>
      </c>
      <c r="U72" t="s">
        <v>13</v>
      </c>
      <c r="V72" s="6">
        <v>0</v>
      </c>
      <c r="W72" s="6">
        <v>0</v>
      </c>
      <c r="X72" s="6">
        <v>0</v>
      </c>
      <c r="Y72" s="3">
        <v>3</v>
      </c>
      <c r="Z72" s="6">
        <v>3</v>
      </c>
      <c r="AA72" s="3">
        <v>9</v>
      </c>
      <c r="AB72" s="3">
        <v>0</v>
      </c>
      <c r="AC72" s="3">
        <v>3</v>
      </c>
      <c r="AD72" s="22">
        <v>4</v>
      </c>
      <c r="AE72" s="3">
        <v>4</v>
      </c>
      <c r="AF72" s="3">
        <v>3</v>
      </c>
      <c r="AG72" s="6">
        <v>0</v>
      </c>
      <c r="AH72" s="3">
        <v>0</v>
      </c>
      <c r="AI72" s="3">
        <v>1</v>
      </c>
      <c r="AJ72" s="3">
        <v>2</v>
      </c>
      <c r="AK72" s="3">
        <v>1</v>
      </c>
      <c r="AL72" s="3">
        <v>2</v>
      </c>
    </row>
    <row r="73" spans="1:38" x14ac:dyDescent="0.35">
      <c r="A73">
        <v>72</v>
      </c>
      <c r="B73" t="s">
        <v>70</v>
      </c>
      <c r="C73">
        <v>-0.04</v>
      </c>
      <c r="D73" t="s">
        <v>150</v>
      </c>
      <c r="E73" t="s">
        <v>117</v>
      </c>
      <c r="F73">
        <v>1</v>
      </c>
      <c r="G73">
        <v>0</v>
      </c>
      <c r="H73" s="25">
        <v>0</v>
      </c>
      <c r="I73" s="3">
        <v>0</v>
      </c>
      <c r="J73" s="3">
        <v>0</v>
      </c>
      <c r="K73" s="3">
        <v>0</v>
      </c>
      <c r="L73" s="3">
        <v>0</v>
      </c>
      <c r="M73" s="3">
        <v>0</v>
      </c>
      <c r="N73" s="3">
        <v>0</v>
      </c>
      <c r="O73" s="3">
        <v>0</v>
      </c>
      <c r="P73" s="3">
        <v>0</v>
      </c>
      <c r="Q73" s="3">
        <v>0</v>
      </c>
      <c r="R73" s="3">
        <v>0</v>
      </c>
      <c r="S73" s="3">
        <v>0</v>
      </c>
      <c r="T73" s="6">
        <f t="shared" si="1"/>
        <v>1</v>
      </c>
      <c r="U73" t="s">
        <v>42</v>
      </c>
      <c r="V73" s="6">
        <v>0</v>
      </c>
      <c r="W73" s="6">
        <v>0</v>
      </c>
      <c r="X73" s="6">
        <v>0</v>
      </c>
      <c r="Y73" s="3">
        <v>1</v>
      </c>
      <c r="Z73" s="6">
        <v>2</v>
      </c>
      <c r="AA73" s="3">
        <v>89</v>
      </c>
      <c r="AB73" s="3">
        <v>0</v>
      </c>
      <c r="AC73" s="3">
        <v>4</v>
      </c>
      <c r="AD73" s="22">
        <v>3</v>
      </c>
      <c r="AE73" s="3">
        <v>4</v>
      </c>
      <c r="AF73" s="3">
        <v>0</v>
      </c>
      <c r="AG73" s="6">
        <v>1</v>
      </c>
      <c r="AH73" s="3">
        <v>0</v>
      </c>
      <c r="AI73" s="3">
        <v>1</v>
      </c>
      <c r="AJ73" s="3">
        <v>2</v>
      </c>
      <c r="AK73" s="3">
        <v>2</v>
      </c>
      <c r="AL73" s="3">
        <v>2</v>
      </c>
    </row>
    <row r="74" spans="1:38" x14ac:dyDescent="0.35">
      <c r="A74">
        <v>73</v>
      </c>
      <c r="B74" t="s">
        <v>66</v>
      </c>
      <c r="C74">
        <v>1.61</v>
      </c>
      <c r="D74" t="s">
        <v>114</v>
      </c>
      <c r="E74" t="s">
        <v>115</v>
      </c>
      <c r="F74">
        <v>0</v>
      </c>
      <c r="G74">
        <v>0</v>
      </c>
      <c r="H74" s="25">
        <v>0.25</v>
      </c>
      <c r="I74" s="3">
        <v>0</v>
      </c>
      <c r="J74" s="6">
        <v>1</v>
      </c>
      <c r="K74" s="6">
        <v>0</v>
      </c>
      <c r="L74" s="3">
        <v>0</v>
      </c>
      <c r="M74" s="3">
        <v>0</v>
      </c>
      <c r="N74" s="3">
        <v>0</v>
      </c>
      <c r="O74" s="3">
        <v>1</v>
      </c>
      <c r="P74" s="3">
        <v>0</v>
      </c>
      <c r="Q74" s="3">
        <v>0</v>
      </c>
      <c r="R74" s="3">
        <v>0</v>
      </c>
      <c r="S74" s="3">
        <v>0</v>
      </c>
      <c r="T74" s="6">
        <f t="shared" si="1"/>
        <v>0</v>
      </c>
      <c r="U74" t="s">
        <v>133</v>
      </c>
      <c r="V74" s="6">
        <v>0</v>
      </c>
      <c r="W74" s="6">
        <v>1</v>
      </c>
      <c r="X74" s="6">
        <v>1</v>
      </c>
      <c r="Y74" s="3">
        <v>5</v>
      </c>
      <c r="Z74" s="6">
        <v>2</v>
      </c>
      <c r="AA74" s="3">
        <v>8</v>
      </c>
      <c r="AB74" s="3">
        <v>1</v>
      </c>
      <c r="AC74" s="3">
        <v>5</v>
      </c>
      <c r="AD74" s="22">
        <v>4</v>
      </c>
      <c r="AE74" s="3">
        <v>4</v>
      </c>
      <c r="AF74" s="3">
        <v>2</v>
      </c>
      <c r="AG74" s="6">
        <v>2</v>
      </c>
      <c r="AH74" s="3">
        <v>2</v>
      </c>
      <c r="AI74" s="3">
        <v>1</v>
      </c>
      <c r="AJ74" s="3">
        <v>2</v>
      </c>
      <c r="AK74" s="3">
        <v>0</v>
      </c>
      <c r="AL74" s="3">
        <v>2</v>
      </c>
    </row>
    <row r="75" spans="1:38" s="14" customFormat="1" x14ac:dyDescent="0.35">
      <c r="A75" s="14">
        <v>74</v>
      </c>
      <c r="B75" s="14" t="s">
        <v>66</v>
      </c>
      <c r="C75" s="14">
        <v>1.61</v>
      </c>
      <c r="D75" s="14" t="s">
        <v>114</v>
      </c>
      <c r="E75" s="14" t="s">
        <v>118</v>
      </c>
      <c r="F75" s="14">
        <v>1</v>
      </c>
      <c r="G75" s="14">
        <v>1</v>
      </c>
      <c r="H75" s="17">
        <v>1</v>
      </c>
      <c r="I75" s="6">
        <v>1</v>
      </c>
      <c r="J75" s="6">
        <v>1</v>
      </c>
      <c r="K75" s="6">
        <v>0</v>
      </c>
      <c r="L75" s="6">
        <v>1</v>
      </c>
      <c r="M75" s="6">
        <v>1</v>
      </c>
      <c r="N75" s="6">
        <v>0</v>
      </c>
      <c r="O75" s="6">
        <v>1</v>
      </c>
      <c r="P75" s="6">
        <v>1</v>
      </c>
      <c r="Q75" s="6">
        <v>0</v>
      </c>
      <c r="R75" s="6">
        <v>1</v>
      </c>
      <c r="S75" s="3">
        <v>0</v>
      </c>
      <c r="T75" s="6">
        <f t="shared" si="1"/>
        <v>0</v>
      </c>
      <c r="U75" s="14" t="s">
        <v>12</v>
      </c>
      <c r="V75" s="6">
        <v>0</v>
      </c>
      <c r="W75" s="6">
        <v>1</v>
      </c>
      <c r="X75" s="6">
        <v>0</v>
      </c>
      <c r="Y75" s="6">
        <v>4</v>
      </c>
      <c r="Z75" s="6">
        <v>2</v>
      </c>
      <c r="AA75" s="6">
        <v>8</v>
      </c>
      <c r="AB75" s="6">
        <v>0</v>
      </c>
      <c r="AC75" s="6">
        <v>4</v>
      </c>
      <c r="AD75" s="22">
        <v>3</v>
      </c>
      <c r="AE75" s="6">
        <v>4</v>
      </c>
      <c r="AF75" s="6">
        <v>3</v>
      </c>
      <c r="AG75" s="6">
        <v>0</v>
      </c>
      <c r="AH75" s="6">
        <v>3</v>
      </c>
      <c r="AI75" s="6">
        <v>1</v>
      </c>
      <c r="AJ75" s="6">
        <v>1</v>
      </c>
      <c r="AK75" s="6">
        <v>0</v>
      </c>
      <c r="AL75" s="6">
        <v>3</v>
      </c>
    </row>
    <row r="76" spans="1:38" x14ac:dyDescent="0.35">
      <c r="A76">
        <v>75</v>
      </c>
      <c r="B76" t="s">
        <v>161</v>
      </c>
      <c r="C76">
        <v>1.47</v>
      </c>
      <c r="D76" t="s">
        <v>151</v>
      </c>
      <c r="E76" t="s">
        <v>118</v>
      </c>
      <c r="F76">
        <v>1</v>
      </c>
      <c r="G76">
        <v>0</v>
      </c>
      <c r="H76" s="25">
        <v>0.75</v>
      </c>
      <c r="I76" s="3">
        <v>0</v>
      </c>
      <c r="J76" s="3">
        <v>0</v>
      </c>
      <c r="K76" s="3">
        <v>1</v>
      </c>
      <c r="L76" s="3">
        <v>1</v>
      </c>
      <c r="M76" s="3">
        <v>1</v>
      </c>
      <c r="N76" s="3">
        <v>0</v>
      </c>
      <c r="O76" s="3">
        <v>1</v>
      </c>
      <c r="P76" s="3">
        <v>0</v>
      </c>
      <c r="Q76" s="3">
        <v>0</v>
      </c>
      <c r="R76" s="3">
        <v>1</v>
      </c>
      <c r="S76" s="3">
        <v>1</v>
      </c>
      <c r="T76" s="6">
        <f t="shared" si="1"/>
        <v>0</v>
      </c>
      <c r="U76" t="s">
        <v>14</v>
      </c>
      <c r="V76" s="6">
        <v>1</v>
      </c>
      <c r="W76" s="6">
        <v>3</v>
      </c>
      <c r="X76" s="6">
        <v>3</v>
      </c>
      <c r="Y76" s="3">
        <v>1</v>
      </c>
      <c r="Z76" s="6">
        <v>4</v>
      </c>
      <c r="AA76" s="3">
        <v>39</v>
      </c>
      <c r="AB76" s="3">
        <v>0</v>
      </c>
      <c r="AC76" s="3">
        <v>4</v>
      </c>
      <c r="AD76" s="22">
        <v>3</v>
      </c>
      <c r="AE76" s="3">
        <v>4</v>
      </c>
      <c r="AF76" s="3">
        <v>2</v>
      </c>
      <c r="AG76" s="6">
        <v>2</v>
      </c>
      <c r="AH76" s="3">
        <v>1</v>
      </c>
      <c r="AI76" s="3">
        <v>3</v>
      </c>
      <c r="AJ76" s="3">
        <v>2</v>
      </c>
      <c r="AK76" s="3">
        <v>0</v>
      </c>
      <c r="AL76" s="3">
        <v>2</v>
      </c>
    </row>
    <row r="77" spans="1:38" s="14" customFormat="1" x14ac:dyDescent="0.35">
      <c r="A77" s="14">
        <v>76</v>
      </c>
      <c r="B77" s="14" t="s">
        <v>160</v>
      </c>
      <c r="C77" s="14">
        <v>0.44</v>
      </c>
      <c r="D77" s="14" t="s">
        <v>151</v>
      </c>
      <c r="E77" s="14" t="s">
        <v>118</v>
      </c>
      <c r="F77" s="14">
        <v>1</v>
      </c>
      <c r="G77" s="14">
        <v>0</v>
      </c>
      <c r="H77" s="17">
        <v>0.5</v>
      </c>
      <c r="I77" s="6">
        <v>1</v>
      </c>
      <c r="J77" s="6">
        <v>1</v>
      </c>
      <c r="K77" s="6">
        <v>1</v>
      </c>
      <c r="L77" s="6">
        <v>0</v>
      </c>
      <c r="M77" s="6">
        <v>1</v>
      </c>
      <c r="N77" s="6">
        <v>0</v>
      </c>
      <c r="O77" s="6">
        <v>1</v>
      </c>
      <c r="P77" s="6">
        <v>0</v>
      </c>
      <c r="Q77" s="6">
        <v>0</v>
      </c>
      <c r="R77" s="6">
        <v>1</v>
      </c>
      <c r="S77" s="3">
        <v>0</v>
      </c>
      <c r="T77" s="6">
        <f t="shared" si="1"/>
        <v>0</v>
      </c>
      <c r="U77" s="14" t="s">
        <v>102</v>
      </c>
      <c r="V77" s="6">
        <v>0</v>
      </c>
      <c r="W77" s="6">
        <v>2</v>
      </c>
      <c r="X77" s="6">
        <v>2</v>
      </c>
      <c r="Y77" s="6">
        <v>2</v>
      </c>
      <c r="Z77" s="6">
        <v>2</v>
      </c>
      <c r="AA77" s="6">
        <v>12</v>
      </c>
      <c r="AB77" s="6">
        <v>2</v>
      </c>
      <c r="AC77" s="6">
        <v>4</v>
      </c>
      <c r="AD77" s="22">
        <v>4</v>
      </c>
      <c r="AE77" s="6">
        <v>4</v>
      </c>
      <c r="AF77" s="6">
        <v>0</v>
      </c>
      <c r="AG77" s="6">
        <v>0</v>
      </c>
      <c r="AH77" s="6">
        <v>2</v>
      </c>
      <c r="AI77" s="6">
        <v>2</v>
      </c>
      <c r="AJ77" s="6">
        <v>2</v>
      </c>
      <c r="AK77" s="6">
        <v>0</v>
      </c>
      <c r="AL77" s="6">
        <v>3</v>
      </c>
    </row>
    <row r="78" spans="1:38" x14ac:dyDescent="0.35">
      <c r="A78">
        <v>77</v>
      </c>
      <c r="B78" t="s">
        <v>70</v>
      </c>
      <c r="C78">
        <v>-0.04</v>
      </c>
      <c r="D78" t="s">
        <v>125</v>
      </c>
      <c r="E78" t="s">
        <v>115</v>
      </c>
      <c r="F78">
        <v>1</v>
      </c>
      <c r="G78">
        <v>0</v>
      </c>
      <c r="H78" s="25">
        <v>0.25</v>
      </c>
      <c r="I78" s="3">
        <v>0</v>
      </c>
      <c r="J78" s="3">
        <v>1</v>
      </c>
      <c r="K78" s="3">
        <v>1</v>
      </c>
      <c r="L78" s="3">
        <v>0</v>
      </c>
      <c r="M78" s="3">
        <v>1</v>
      </c>
      <c r="N78" s="3">
        <v>0</v>
      </c>
      <c r="O78" s="3">
        <v>1</v>
      </c>
      <c r="P78" s="3">
        <v>0</v>
      </c>
      <c r="Q78" s="3">
        <v>1</v>
      </c>
      <c r="R78" s="3">
        <v>1</v>
      </c>
      <c r="S78" s="3">
        <v>0</v>
      </c>
      <c r="T78" s="6">
        <f t="shared" si="1"/>
        <v>0</v>
      </c>
      <c r="U78" t="s">
        <v>110</v>
      </c>
      <c r="V78" s="6">
        <v>0</v>
      </c>
      <c r="W78" s="6">
        <v>2</v>
      </c>
      <c r="X78" s="6">
        <v>2</v>
      </c>
      <c r="Y78" s="3">
        <v>1</v>
      </c>
      <c r="Z78" s="6">
        <v>2</v>
      </c>
      <c r="AA78" s="3">
        <v>40</v>
      </c>
      <c r="AB78" s="3">
        <v>2</v>
      </c>
      <c r="AC78" s="3">
        <v>3</v>
      </c>
      <c r="AD78" s="22">
        <v>3</v>
      </c>
      <c r="AE78" s="3">
        <v>4</v>
      </c>
      <c r="AF78" s="3">
        <v>2</v>
      </c>
      <c r="AG78" s="6">
        <v>2</v>
      </c>
      <c r="AH78" s="3">
        <v>1</v>
      </c>
      <c r="AI78" s="3">
        <v>2</v>
      </c>
      <c r="AJ78" s="3">
        <v>1</v>
      </c>
      <c r="AK78" s="3">
        <v>1</v>
      </c>
      <c r="AL78" s="3">
        <v>3</v>
      </c>
    </row>
    <row r="79" spans="1:38" x14ac:dyDescent="0.35">
      <c r="A79">
        <v>78</v>
      </c>
      <c r="B79" t="s">
        <v>66</v>
      </c>
      <c r="C79">
        <v>1.61</v>
      </c>
      <c r="D79" t="s">
        <v>114</v>
      </c>
      <c r="E79" t="s">
        <v>121</v>
      </c>
      <c r="F79">
        <v>0</v>
      </c>
      <c r="G79">
        <v>0</v>
      </c>
      <c r="H79" s="25">
        <v>0</v>
      </c>
      <c r="I79" s="3">
        <v>0</v>
      </c>
      <c r="J79" s="6">
        <v>0</v>
      </c>
      <c r="K79" s="6">
        <v>0</v>
      </c>
      <c r="L79" s="3">
        <v>0</v>
      </c>
      <c r="M79" s="3">
        <v>0</v>
      </c>
      <c r="N79" s="3">
        <v>0</v>
      </c>
      <c r="O79" s="3">
        <v>0</v>
      </c>
      <c r="P79" s="3">
        <v>0</v>
      </c>
      <c r="Q79" s="3">
        <v>0</v>
      </c>
      <c r="R79" s="3">
        <v>0</v>
      </c>
      <c r="S79" s="3">
        <v>0</v>
      </c>
      <c r="T79" s="6">
        <f t="shared" si="1"/>
        <v>1</v>
      </c>
      <c r="U79" t="s">
        <v>42</v>
      </c>
      <c r="V79" s="6">
        <v>0</v>
      </c>
      <c r="W79" s="6">
        <v>0</v>
      </c>
      <c r="X79" s="6">
        <v>0</v>
      </c>
      <c r="Y79" s="3">
        <v>9</v>
      </c>
      <c r="Z79" s="6">
        <v>2</v>
      </c>
      <c r="AA79" s="3">
        <v>30</v>
      </c>
      <c r="AB79" s="3">
        <v>0</v>
      </c>
      <c r="AC79" s="3">
        <v>1</v>
      </c>
      <c r="AD79" s="22">
        <v>2</v>
      </c>
      <c r="AE79" s="3">
        <v>4</v>
      </c>
      <c r="AF79" s="3">
        <v>1</v>
      </c>
      <c r="AG79" s="6">
        <v>0</v>
      </c>
      <c r="AH79" s="3">
        <v>0</v>
      </c>
      <c r="AI79" s="3">
        <v>1</v>
      </c>
      <c r="AJ79" s="3">
        <v>1</v>
      </c>
      <c r="AK79" s="3">
        <v>0</v>
      </c>
      <c r="AL79" s="3">
        <v>3</v>
      </c>
    </row>
    <row r="80" spans="1:38" s="14" customFormat="1" x14ac:dyDescent="0.35">
      <c r="A80" s="14">
        <v>79</v>
      </c>
      <c r="B80" s="14" t="s">
        <v>64</v>
      </c>
      <c r="C80" s="14">
        <v>1.42</v>
      </c>
      <c r="D80" s="14" t="s">
        <v>150</v>
      </c>
      <c r="E80" s="14" t="s">
        <v>121</v>
      </c>
      <c r="F80" s="14">
        <v>0</v>
      </c>
      <c r="G80" s="14">
        <v>0</v>
      </c>
      <c r="H80" s="17">
        <v>0.25</v>
      </c>
      <c r="I80" s="6">
        <v>0</v>
      </c>
      <c r="J80" s="6">
        <v>0</v>
      </c>
      <c r="K80" s="6">
        <v>0</v>
      </c>
      <c r="L80" s="6">
        <v>0</v>
      </c>
      <c r="M80" s="6">
        <v>1</v>
      </c>
      <c r="N80" s="6">
        <v>0</v>
      </c>
      <c r="O80" s="6">
        <v>1</v>
      </c>
      <c r="P80" s="6">
        <v>0</v>
      </c>
      <c r="Q80" s="6">
        <v>0</v>
      </c>
      <c r="R80" s="6">
        <v>1</v>
      </c>
      <c r="S80" s="3">
        <v>0</v>
      </c>
      <c r="T80" s="6">
        <f t="shared" si="1"/>
        <v>0</v>
      </c>
      <c r="U80" s="14" t="s">
        <v>12</v>
      </c>
      <c r="V80" s="6">
        <v>0</v>
      </c>
      <c r="W80" s="6">
        <v>1</v>
      </c>
      <c r="X80" s="6">
        <v>1</v>
      </c>
      <c r="Y80" s="6">
        <v>2</v>
      </c>
      <c r="Z80" s="6">
        <v>2</v>
      </c>
      <c r="AA80" s="6">
        <v>4</v>
      </c>
      <c r="AB80" s="6">
        <v>0</v>
      </c>
      <c r="AC80" s="6">
        <v>4</v>
      </c>
      <c r="AD80" s="22">
        <v>3</v>
      </c>
      <c r="AE80" s="6">
        <v>3</v>
      </c>
      <c r="AF80" s="6">
        <v>2</v>
      </c>
      <c r="AG80" s="6">
        <v>2</v>
      </c>
      <c r="AH80" s="6">
        <v>0</v>
      </c>
      <c r="AI80" s="6">
        <v>2</v>
      </c>
      <c r="AJ80" s="6">
        <v>1</v>
      </c>
      <c r="AK80" s="6">
        <v>0</v>
      </c>
      <c r="AL80" s="6">
        <v>2</v>
      </c>
    </row>
    <row r="81" spans="1:38" x14ac:dyDescent="0.35">
      <c r="A81">
        <v>80</v>
      </c>
      <c r="B81" t="s">
        <v>161</v>
      </c>
      <c r="C81">
        <v>1.47</v>
      </c>
      <c r="D81" t="s">
        <v>151</v>
      </c>
      <c r="E81" t="s">
        <v>115</v>
      </c>
      <c r="F81">
        <v>0</v>
      </c>
      <c r="G81">
        <v>0</v>
      </c>
      <c r="H81" s="25">
        <v>1</v>
      </c>
      <c r="I81" s="3">
        <v>0</v>
      </c>
      <c r="J81" s="3">
        <v>0</v>
      </c>
      <c r="K81" s="3">
        <v>0</v>
      </c>
      <c r="L81" s="3">
        <v>0</v>
      </c>
      <c r="M81" s="3">
        <v>1</v>
      </c>
      <c r="N81" s="3">
        <v>0</v>
      </c>
      <c r="O81" s="3">
        <v>1</v>
      </c>
      <c r="P81" s="3">
        <v>0</v>
      </c>
      <c r="Q81" s="3">
        <v>0</v>
      </c>
      <c r="R81" s="3">
        <v>0</v>
      </c>
      <c r="S81" s="3">
        <v>1</v>
      </c>
      <c r="T81" s="6">
        <f t="shared" si="1"/>
        <v>0</v>
      </c>
      <c r="U81" t="s">
        <v>106</v>
      </c>
      <c r="V81" s="6">
        <v>0</v>
      </c>
      <c r="W81" s="6">
        <v>1</v>
      </c>
      <c r="X81" s="6">
        <v>1</v>
      </c>
      <c r="Y81" s="3">
        <v>2</v>
      </c>
      <c r="Z81" s="6">
        <v>2</v>
      </c>
      <c r="AA81" s="3">
        <v>46</v>
      </c>
      <c r="AB81" s="3">
        <v>2</v>
      </c>
      <c r="AC81" s="3">
        <v>4</v>
      </c>
      <c r="AD81" s="22">
        <v>2</v>
      </c>
      <c r="AE81" s="3">
        <v>4</v>
      </c>
      <c r="AF81" s="3">
        <v>2</v>
      </c>
      <c r="AG81" s="6">
        <v>2</v>
      </c>
      <c r="AH81" s="3">
        <v>0</v>
      </c>
      <c r="AI81" s="3">
        <v>1</v>
      </c>
      <c r="AJ81" s="3">
        <v>1</v>
      </c>
      <c r="AK81" s="3">
        <v>1</v>
      </c>
      <c r="AL81" s="3">
        <v>2</v>
      </c>
    </row>
    <row r="82" spans="1:38" x14ac:dyDescent="0.35">
      <c r="A82">
        <v>81</v>
      </c>
      <c r="B82" t="s">
        <v>161</v>
      </c>
      <c r="C82">
        <v>1.47</v>
      </c>
      <c r="D82" t="s">
        <v>151</v>
      </c>
      <c r="E82" t="s">
        <v>121</v>
      </c>
      <c r="F82">
        <v>0</v>
      </c>
      <c r="G82">
        <v>0</v>
      </c>
      <c r="H82" s="25">
        <v>1</v>
      </c>
      <c r="I82" s="3">
        <v>0</v>
      </c>
      <c r="J82" s="3">
        <v>0</v>
      </c>
      <c r="K82" s="3">
        <v>0</v>
      </c>
      <c r="L82" s="3">
        <v>0</v>
      </c>
      <c r="M82" s="3">
        <v>1</v>
      </c>
      <c r="N82" s="3">
        <v>0</v>
      </c>
      <c r="O82" s="3">
        <v>1</v>
      </c>
      <c r="P82" s="3">
        <v>0</v>
      </c>
      <c r="Q82" s="3">
        <v>1</v>
      </c>
      <c r="R82" s="3">
        <v>1</v>
      </c>
      <c r="S82" s="3">
        <v>0</v>
      </c>
      <c r="T82" s="6">
        <f t="shared" si="1"/>
        <v>0</v>
      </c>
      <c r="U82" t="s">
        <v>14</v>
      </c>
      <c r="V82" s="6">
        <v>0</v>
      </c>
      <c r="W82" s="6">
        <v>0</v>
      </c>
      <c r="X82" s="6">
        <v>0</v>
      </c>
      <c r="Y82" s="3">
        <v>1</v>
      </c>
      <c r="Z82" s="6">
        <v>2</v>
      </c>
      <c r="AA82" s="3">
        <v>125</v>
      </c>
      <c r="AB82" s="3">
        <v>3</v>
      </c>
      <c r="AC82" s="3">
        <v>1</v>
      </c>
      <c r="AD82" s="22">
        <v>3</v>
      </c>
      <c r="AE82" s="3">
        <v>2</v>
      </c>
      <c r="AF82" s="3">
        <v>2</v>
      </c>
      <c r="AG82" s="6">
        <v>0</v>
      </c>
      <c r="AH82" s="3">
        <v>2</v>
      </c>
      <c r="AI82" s="3">
        <v>2</v>
      </c>
      <c r="AJ82" s="3">
        <v>2</v>
      </c>
      <c r="AK82" s="3">
        <v>0</v>
      </c>
      <c r="AL82" s="3">
        <v>1</v>
      </c>
    </row>
    <row r="83" spans="1:38" x14ac:dyDescent="0.35">
      <c r="A83">
        <v>82</v>
      </c>
      <c r="B83" t="s">
        <v>70</v>
      </c>
      <c r="C83">
        <v>-0.04</v>
      </c>
      <c r="D83" t="s">
        <v>150</v>
      </c>
      <c r="E83" t="s">
        <v>121</v>
      </c>
      <c r="F83">
        <v>1</v>
      </c>
      <c r="G83">
        <v>0</v>
      </c>
      <c r="H83" s="25">
        <v>0.5</v>
      </c>
      <c r="I83" s="3">
        <v>0</v>
      </c>
      <c r="J83" s="3">
        <v>1</v>
      </c>
      <c r="K83" s="3">
        <v>0</v>
      </c>
      <c r="L83" s="3">
        <v>0</v>
      </c>
      <c r="M83" s="3">
        <v>1</v>
      </c>
      <c r="N83" s="3">
        <v>0</v>
      </c>
      <c r="O83" s="3">
        <v>1</v>
      </c>
      <c r="P83" s="3">
        <v>0</v>
      </c>
      <c r="Q83" s="3">
        <v>0</v>
      </c>
      <c r="R83" s="3">
        <v>1</v>
      </c>
      <c r="S83" s="3">
        <v>0</v>
      </c>
      <c r="T83" s="6">
        <f t="shared" si="1"/>
        <v>0</v>
      </c>
      <c r="U83" t="s">
        <v>133</v>
      </c>
      <c r="V83" s="6">
        <v>0</v>
      </c>
      <c r="W83" s="6">
        <v>2</v>
      </c>
      <c r="X83" s="6">
        <v>0</v>
      </c>
      <c r="Y83" s="3">
        <v>2</v>
      </c>
      <c r="Z83" s="6">
        <v>2</v>
      </c>
      <c r="AA83" s="3">
        <v>15</v>
      </c>
      <c r="AB83" s="3">
        <v>0</v>
      </c>
      <c r="AC83" s="3">
        <v>5</v>
      </c>
      <c r="AD83" s="22">
        <v>3</v>
      </c>
      <c r="AE83" s="3">
        <v>2</v>
      </c>
      <c r="AF83" s="3">
        <v>1</v>
      </c>
      <c r="AG83" s="6">
        <v>0</v>
      </c>
      <c r="AH83" s="3">
        <v>1</v>
      </c>
      <c r="AI83" s="3">
        <v>1</v>
      </c>
      <c r="AJ83" s="3">
        <v>2</v>
      </c>
      <c r="AK83" s="3">
        <v>0</v>
      </c>
      <c r="AL83" s="3">
        <v>2</v>
      </c>
    </row>
    <row r="84" spans="1:38" s="14" customFormat="1" x14ac:dyDescent="0.35">
      <c r="A84" s="14">
        <v>83</v>
      </c>
      <c r="B84" s="14" t="s">
        <v>160</v>
      </c>
      <c r="C84" s="14">
        <v>0.44</v>
      </c>
      <c r="D84" s="14" t="s">
        <v>151</v>
      </c>
      <c r="E84" s="14" t="s">
        <v>121</v>
      </c>
      <c r="F84" s="14">
        <v>1</v>
      </c>
      <c r="G84" s="14">
        <v>0</v>
      </c>
      <c r="H84" s="17">
        <v>0.25</v>
      </c>
      <c r="I84" s="6">
        <v>0</v>
      </c>
      <c r="J84" s="6">
        <v>0</v>
      </c>
      <c r="K84" s="6">
        <v>0</v>
      </c>
      <c r="L84" s="6">
        <v>0</v>
      </c>
      <c r="M84" s="6">
        <v>1</v>
      </c>
      <c r="N84" s="6">
        <v>0</v>
      </c>
      <c r="O84" s="6">
        <v>1</v>
      </c>
      <c r="P84" s="6">
        <v>0</v>
      </c>
      <c r="Q84" s="6">
        <v>0</v>
      </c>
      <c r="R84" s="6">
        <v>0</v>
      </c>
      <c r="S84" s="3">
        <v>0</v>
      </c>
      <c r="T84" s="6">
        <f t="shared" si="1"/>
        <v>0</v>
      </c>
      <c r="U84" s="14" t="s">
        <v>102</v>
      </c>
      <c r="V84" s="6">
        <v>0</v>
      </c>
      <c r="W84" s="6">
        <v>0</v>
      </c>
      <c r="X84" s="6">
        <v>0</v>
      </c>
      <c r="Y84" s="6">
        <v>1</v>
      </c>
      <c r="Z84" s="6">
        <v>4</v>
      </c>
      <c r="AA84" s="6">
        <v>9</v>
      </c>
      <c r="AB84" s="6">
        <v>0</v>
      </c>
      <c r="AC84" s="6">
        <v>4</v>
      </c>
      <c r="AD84" s="22">
        <v>1</v>
      </c>
      <c r="AE84" s="6">
        <v>2</v>
      </c>
      <c r="AF84" s="6">
        <v>0</v>
      </c>
      <c r="AG84" s="6">
        <v>0</v>
      </c>
      <c r="AH84" s="6">
        <v>0</v>
      </c>
      <c r="AI84" s="6">
        <v>1</v>
      </c>
      <c r="AJ84" s="6">
        <v>1</v>
      </c>
      <c r="AK84" s="6">
        <v>1</v>
      </c>
      <c r="AL84" s="6">
        <v>3</v>
      </c>
    </row>
    <row r="85" spans="1:38" x14ac:dyDescent="0.35">
      <c r="A85">
        <v>84</v>
      </c>
      <c r="B85" t="s">
        <v>160</v>
      </c>
      <c r="C85">
        <v>0.44</v>
      </c>
      <c r="D85" t="s">
        <v>124</v>
      </c>
      <c r="E85" t="s">
        <v>118</v>
      </c>
      <c r="F85">
        <v>1</v>
      </c>
      <c r="G85">
        <v>0</v>
      </c>
      <c r="H85" s="25">
        <v>0</v>
      </c>
      <c r="I85" s="3">
        <v>0</v>
      </c>
      <c r="J85" s="3">
        <v>0</v>
      </c>
      <c r="K85" s="3">
        <v>0</v>
      </c>
      <c r="L85" s="3">
        <v>0</v>
      </c>
      <c r="M85" s="3">
        <v>0</v>
      </c>
      <c r="N85" s="3">
        <v>0</v>
      </c>
      <c r="O85" s="3">
        <v>0</v>
      </c>
      <c r="P85" s="3">
        <v>0</v>
      </c>
      <c r="Q85" s="3">
        <v>0</v>
      </c>
      <c r="R85" s="3">
        <v>0</v>
      </c>
      <c r="S85" s="3">
        <v>0</v>
      </c>
      <c r="T85" s="6">
        <f t="shared" si="1"/>
        <v>1</v>
      </c>
      <c r="U85" t="s">
        <v>42</v>
      </c>
      <c r="V85" s="6">
        <v>0</v>
      </c>
      <c r="W85" s="6">
        <v>2</v>
      </c>
      <c r="X85" s="6">
        <v>2</v>
      </c>
      <c r="Y85" s="3">
        <v>3</v>
      </c>
      <c r="Z85" s="6">
        <v>1</v>
      </c>
      <c r="AA85" s="3">
        <v>12</v>
      </c>
      <c r="AB85" s="3">
        <v>0</v>
      </c>
      <c r="AC85" s="3">
        <v>1</v>
      </c>
      <c r="AD85" s="22">
        <v>3</v>
      </c>
      <c r="AE85" s="3">
        <v>4</v>
      </c>
      <c r="AF85" s="3">
        <v>1</v>
      </c>
      <c r="AG85" s="6">
        <v>3</v>
      </c>
      <c r="AH85" s="3">
        <v>0</v>
      </c>
      <c r="AI85" s="3">
        <v>2</v>
      </c>
      <c r="AJ85" s="3">
        <v>2</v>
      </c>
      <c r="AK85" s="3">
        <v>3</v>
      </c>
      <c r="AL85" s="3">
        <v>1</v>
      </c>
    </row>
    <row r="86" spans="1:38" x14ac:dyDescent="0.35">
      <c r="A86">
        <v>85</v>
      </c>
      <c r="B86" t="s">
        <v>70</v>
      </c>
      <c r="C86">
        <v>-0.04</v>
      </c>
      <c r="D86" t="s">
        <v>125</v>
      </c>
      <c r="E86" t="s">
        <v>115</v>
      </c>
      <c r="F86">
        <v>1</v>
      </c>
      <c r="G86">
        <v>0</v>
      </c>
      <c r="H86" s="25">
        <v>0</v>
      </c>
      <c r="I86" s="3">
        <v>0</v>
      </c>
      <c r="J86" s="3">
        <v>0</v>
      </c>
      <c r="K86" s="3">
        <v>0</v>
      </c>
      <c r="L86" s="3">
        <v>0</v>
      </c>
      <c r="M86" s="3">
        <v>1</v>
      </c>
      <c r="N86" s="3">
        <v>0</v>
      </c>
      <c r="O86" s="3">
        <v>0</v>
      </c>
      <c r="P86" s="3">
        <v>0</v>
      </c>
      <c r="Q86" s="3">
        <v>1</v>
      </c>
      <c r="R86" s="3">
        <v>1</v>
      </c>
      <c r="S86" s="3">
        <v>0</v>
      </c>
      <c r="T86" s="6">
        <f t="shared" si="1"/>
        <v>0</v>
      </c>
      <c r="U86" t="s">
        <v>12</v>
      </c>
      <c r="V86" s="6">
        <v>0</v>
      </c>
      <c r="W86" s="6">
        <v>0</v>
      </c>
      <c r="X86" s="6">
        <v>0</v>
      </c>
      <c r="Y86" s="3">
        <v>1</v>
      </c>
      <c r="Z86" s="6">
        <v>1</v>
      </c>
      <c r="AA86" s="3">
        <v>40</v>
      </c>
      <c r="AB86" s="3">
        <v>0</v>
      </c>
      <c r="AC86" s="3">
        <v>5</v>
      </c>
      <c r="AD86" s="22">
        <v>1</v>
      </c>
      <c r="AE86" s="3">
        <v>1</v>
      </c>
      <c r="AF86" s="3">
        <v>2</v>
      </c>
      <c r="AG86" s="6">
        <v>0</v>
      </c>
      <c r="AH86" s="3">
        <v>0</v>
      </c>
      <c r="AI86" s="3">
        <v>2</v>
      </c>
      <c r="AJ86" s="3">
        <v>2</v>
      </c>
      <c r="AK86" s="3">
        <v>0</v>
      </c>
      <c r="AL86" s="3">
        <v>3</v>
      </c>
    </row>
    <row r="87" spans="1:38" x14ac:dyDescent="0.35">
      <c r="A87">
        <v>86</v>
      </c>
      <c r="B87" t="s">
        <v>161</v>
      </c>
      <c r="C87">
        <v>1.47</v>
      </c>
      <c r="D87" t="s">
        <v>151</v>
      </c>
      <c r="E87" t="s">
        <v>115</v>
      </c>
      <c r="F87">
        <v>1</v>
      </c>
      <c r="G87">
        <v>0</v>
      </c>
      <c r="H87" s="25">
        <v>0</v>
      </c>
      <c r="I87" s="3">
        <v>0</v>
      </c>
      <c r="J87" s="3">
        <v>0</v>
      </c>
      <c r="K87" s="3">
        <v>0</v>
      </c>
      <c r="L87" s="3">
        <v>0</v>
      </c>
      <c r="M87" s="3">
        <v>0</v>
      </c>
      <c r="N87" s="3">
        <v>0</v>
      </c>
      <c r="O87" s="3">
        <v>0</v>
      </c>
      <c r="P87" s="3">
        <v>0</v>
      </c>
      <c r="Q87" s="3">
        <v>0</v>
      </c>
      <c r="R87" s="3">
        <v>0</v>
      </c>
      <c r="S87" s="3">
        <v>0</v>
      </c>
      <c r="T87" s="6">
        <f t="shared" si="1"/>
        <v>1</v>
      </c>
      <c r="U87" t="s">
        <v>42</v>
      </c>
      <c r="V87" s="6">
        <v>1</v>
      </c>
      <c r="W87" s="6">
        <v>1</v>
      </c>
      <c r="X87" s="6">
        <v>0</v>
      </c>
      <c r="Y87" s="3">
        <v>2</v>
      </c>
      <c r="Z87" s="6">
        <v>4</v>
      </c>
      <c r="AA87" s="3">
        <v>30</v>
      </c>
      <c r="AB87" s="3">
        <v>4</v>
      </c>
      <c r="AC87" s="3">
        <v>2</v>
      </c>
      <c r="AD87" s="22">
        <v>3</v>
      </c>
      <c r="AE87" s="3">
        <v>3</v>
      </c>
      <c r="AF87" s="3">
        <v>1</v>
      </c>
      <c r="AG87" s="6">
        <v>3</v>
      </c>
      <c r="AH87" s="3">
        <v>2</v>
      </c>
      <c r="AI87" s="3">
        <v>3</v>
      </c>
      <c r="AJ87" s="3">
        <v>2</v>
      </c>
      <c r="AK87" s="3">
        <v>0</v>
      </c>
      <c r="AL87" s="3">
        <v>3</v>
      </c>
    </row>
    <row r="88" spans="1:38" x14ac:dyDescent="0.35">
      <c r="A88">
        <v>87</v>
      </c>
      <c r="B88" t="s">
        <v>70</v>
      </c>
      <c r="C88">
        <v>-0.04</v>
      </c>
      <c r="D88" t="s">
        <v>137</v>
      </c>
      <c r="E88" t="s">
        <v>121</v>
      </c>
      <c r="F88">
        <v>1</v>
      </c>
      <c r="G88">
        <v>0</v>
      </c>
      <c r="H88" s="25">
        <v>0.25</v>
      </c>
      <c r="I88" s="3">
        <v>0</v>
      </c>
      <c r="J88" s="3">
        <v>0</v>
      </c>
      <c r="K88" s="3">
        <v>1</v>
      </c>
      <c r="L88" s="3">
        <v>0</v>
      </c>
      <c r="M88" s="3">
        <v>1</v>
      </c>
      <c r="N88" s="3">
        <v>0</v>
      </c>
      <c r="O88" s="3">
        <v>1</v>
      </c>
      <c r="P88" s="3">
        <v>0</v>
      </c>
      <c r="Q88" s="3">
        <v>0</v>
      </c>
      <c r="R88" s="3">
        <v>0</v>
      </c>
      <c r="S88" s="3">
        <v>1</v>
      </c>
      <c r="T88" s="6">
        <f t="shared" si="1"/>
        <v>0</v>
      </c>
      <c r="U88" t="s">
        <v>12</v>
      </c>
      <c r="V88" s="6">
        <v>0</v>
      </c>
      <c r="W88" s="6">
        <v>2</v>
      </c>
      <c r="X88" s="6">
        <v>2</v>
      </c>
      <c r="Y88" s="3">
        <v>3</v>
      </c>
      <c r="Z88" s="6">
        <v>3</v>
      </c>
      <c r="AA88" s="3">
        <v>87</v>
      </c>
      <c r="AB88" s="3">
        <v>4</v>
      </c>
      <c r="AC88" s="3">
        <v>4</v>
      </c>
      <c r="AD88" s="22">
        <v>2</v>
      </c>
      <c r="AE88" s="3">
        <v>2</v>
      </c>
      <c r="AF88" s="3">
        <v>3</v>
      </c>
      <c r="AG88" s="6">
        <v>1</v>
      </c>
      <c r="AH88" s="3">
        <v>1</v>
      </c>
      <c r="AI88" s="3">
        <v>1</v>
      </c>
      <c r="AJ88" s="3">
        <v>1</v>
      </c>
      <c r="AK88" s="3">
        <v>1</v>
      </c>
      <c r="AL88" s="3">
        <v>1</v>
      </c>
    </row>
    <row r="89" spans="1:38" x14ac:dyDescent="0.35">
      <c r="A89">
        <v>88</v>
      </c>
      <c r="B89" t="s">
        <v>66</v>
      </c>
      <c r="C89">
        <v>1.61</v>
      </c>
      <c r="D89" t="s">
        <v>114</v>
      </c>
      <c r="E89" t="s">
        <v>115</v>
      </c>
      <c r="F89">
        <v>0</v>
      </c>
      <c r="G89">
        <v>0</v>
      </c>
      <c r="H89" s="25">
        <v>0</v>
      </c>
      <c r="I89" s="3">
        <v>0</v>
      </c>
      <c r="J89" s="3">
        <v>0</v>
      </c>
      <c r="K89" s="3">
        <v>0</v>
      </c>
      <c r="L89" s="3">
        <v>0</v>
      </c>
      <c r="M89" s="3">
        <v>0</v>
      </c>
      <c r="N89" s="3">
        <v>0</v>
      </c>
      <c r="O89" s="3">
        <v>0</v>
      </c>
      <c r="P89" s="3">
        <v>0</v>
      </c>
      <c r="Q89" s="3">
        <v>0</v>
      </c>
      <c r="R89" s="3">
        <v>0</v>
      </c>
      <c r="S89" s="3">
        <v>0</v>
      </c>
      <c r="T89" s="6">
        <f t="shared" si="1"/>
        <v>1</v>
      </c>
      <c r="U89" t="s">
        <v>42</v>
      </c>
      <c r="V89" s="6">
        <v>1</v>
      </c>
      <c r="W89" s="6">
        <v>0</v>
      </c>
      <c r="X89" s="6">
        <v>1</v>
      </c>
      <c r="Y89" s="3">
        <v>3</v>
      </c>
      <c r="Z89" s="6">
        <v>3</v>
      </c>
      <c r="AA89" s="3">
        <v>147</v>
      </c>
      <c r="AB89" s="3">
        <v>0</v>
      </c>
      <c r="AC89" s="3">
        <v>2</v>
      </c>
      <c r="AD89" s="22">
        <v>1</v>
      </c>
      <c r="AE89" s="3">
        <v>1</v>
      </c>
      <c r="AF89" s="3">
        <v>0</v>
      </c>
      <c r="AG89" s="6">
        <v>3</v>
      </c>
      <c r="AH89" s="3">
        <v>0</v>
      </c>
      <c r="AI89" s="3">
        <v>2</v>
      </c>
      <c r="AJ89" s="3">
        <v>2</v>
      </c>
      <c r="AK89" s="3">
        <v>1</v>
      </c>
      <c r="AL89" s="3">
        <v>2</v>
      </c>
    </row>
    <row r="90" spans="1:38" x14ac:dyDescent="0.35">
      <c r="A90">
        <v>89</v>
      </c>
      <c r="B90" t="s">
        <v>70</v>
      </c>
      <c r="C90">
        <v>-0.04</v>
      </c>
      <c r="D90" t="s">
        <v>125</v>
      </c>
      <c r="E90" t="s">
        <v>117</v>
      </c>
      <c r="F90">
        <v>1</v>
      </c>
      <c r="G90">
        <v>0</v>
      </c>
      <c r="H90" s="25">
        <v>0.5</v>
      </c>
      <c r="I90" s="3">
        <v>0</v>
      </c>
      <c r="J90" s="3">
        <v>1</v>
      </c>
      <c r="K90" s="3">
        <v>0</v>
      </c>
      <c r="L90" s="3">
        <v>0</v>
      </c>
      <c r="M90" s="3">
        <v>1</v>
      </c>
      <c r="N90" s="3">
        <v>0</v>
      </c>
      <c r="O90" s="3">
        <v>1</v>
      </c>
      <c r="P90" s="3">
        <v>1</v>
      </c>
      <c r="Q90" s="3">
        <v>1</v>
      </c>
      <c r="R90" s="3">
        <v>1</v>
      </c>
      <c r="S90" s="3">
        <v>0</v>
      </c>
      <c r="T90" s="6">
        <f t="shared" si="1"/>
        <v>0</v>
      </c>
      <c r="U90" t="s">
        <v>12</v>
      </c>
      <c r="V90" s="6">
        <v>0</v>
      </c>
      <c r="W90" s="6">
        <v>3</v>
      </c>
      <c r="X90" s="6">
        <v>3</v>
      </c>
      <c r="Y90" s="3">
        <v>2</v>
      </c>
      <c r="Z90" s="6">
        <v>2</v>
      </c>
      <c r="AA90" s="3">
        <v>60</v>
      </c>
      <c r="AB90" s="3">
        <v>1</v>
      </c>
      <c r="AC90" s="3">
        <v>5</v>
      </c>
      <c r="AD90" s="22">
        <v>1</v>
      </c>
      <c r="AE90" s="3">
        <v>3</v>
      </c>
      <c r="AF90" s="3">
        <v>2</v>
      </c>
      <c r="AG90" s="6">
        <v>2</v>
      </c>
      <c r="AH90" s="3">
        <v>1</v>
      </c>
      <c r="AI90" s="3">
        <v>2</v>
      </c>
      <c r="AJ90" s="3">
        <v>2</v>
      </c>
      <c r="AK90" s="3">
        <v>0</v>
      </c>
      <c r="AL90" s="3">
        <v>3</v>
      </c>
    </row>
    <row r="91" spans="1:38" x14ac:dyDescent="0.35">
      <c r="A91">
        <v>90</v>
      </c>
      <c r="B91" t="s">
        <v>70</v>
      </c>
      <c r="C91">
        <v>-0.04</v>
      </c>
      <c r="D91" t="s">
        <v>150</v>
      </c>
      <c r="E91" t="s">
        <v>115</v>
      </c>
      <c r="F91">
        <v>1</v>
      </c>
      <c r="G91">
        <v>0</v>
      </c>
      <c r="H91" s="25">
        <v>0.25</v>
      </c>
      <c r="I91" s="3">
        <v>0</v>
      </c>
      <c r="J91" s="3">
        <v>0</v>
      </c>
      <c r="K91" s="3">
        <v>1</v>
      </c>
      <c r="L91" s="3">
        <v>0</v>
      </c>
      <c r="M91" s="3">
        <v>1</v>
      </c>
      <c r="N91" s="3">
        <v>0</v>
      </c>
      <c r="O91" s="3">
        <v>0</v>
      </c>
      <c r="P91" s="3">
        <v>0</v>
      </c>
      <c r="Q91" s="3">
        <v>0</v>
      </c>
      <c r="R91" s="3">
        <v>0</v>
      </c>
      <c r="S91" s="3">
        <v>0</v>
      </c>
      <c r="T91" s="6">
        <f t="shared" si="1"/>
        <v>0</v>
      </c>
      <c r="U91" t="s">
        <v>134</v>
      </c>
      <c r="V91" s="6">
        <v>0</v>
      </c>
      <c r="W91" s="6">
        <v>2</v>
      </c>
      <c r="X91" s="6">
        <v>2</v>
      </c>
      <c r="Y91" s="3">
        <v>1</v>
      </c>
      <c r="Z91" s="6">
        <v>2</v>
      </c>
      <c r="AA91" s="3">
        <v>89</v>
      </c>
      <c r="AB91" s="3">
        <v>1</v>
      </c>
      <c r="AC91" s="3">
        <v>1</v>
      </c>
      <c r="AD91" s="22">
        <v>4</v>
      </c>
      <c r="AE91" s="3">
        <v>1</v>
      </c>
      <c r="AF91" s="3">
        <v>3</v>
      </c>
      <c r="AG91" s="6">
        <v>1</v>
      </c>
      <c r="AH91" s="3">
        <v>1</v>
      </c>
      <c r="AI91" s="3">
        <v>2</v>
      </c>
      <c r="AJ91" s="3">
        <v>1</v>
      </c>
      <c r="AK91" s="3">
        <v>1</v>
      </c>
      <c r="AL91" s="3">
        <v>2</v>
      </c>
    </row>
    <row r="92" spans="1:38" x14ac:dyDescent="0.35">
      <c r="A92">
        <v>91</v>
      </c>
      <c r="B92" t="s">
        <v>70</v>
      </c>
      <c r="C92">
        <v>-0.04</v>
      </c>
      <c r="D92" t="s">
        <v>125</v>
      </c>
      <c r="E92" t="s">
        <v>117</v>
      </c>
      <c r="F92">
        <v>1</v>
      </c>
      <c r="G92">
        <v>0</v>
      </c>
      <c r="H92" s="25">
        <v>0.25</v>
      </c>
      <c r="I92" s="3">
        <v>0</v>
      </c>
      <c r="J92" s="3">
        <v>0</v>
      </c>
      <c r="K92" s="3">
        <v>0</v>
      </c>
      <c r="L92" s="3">
        <v>0</v>
      </c>
      <c r="M92" s="3">
        <v>1</v>
      </c>
      <c r="N92" s="3">
        <v>0</v>
      </c>
      <c r="O92" s="3">
        <v>0</v>
      </c>
      <c r="P92" s="3">
        <v>0</v>
      </c>
      <c r="Q92" s="3">
        <v>1</v>
      </c>
      <c r="R92" s="3">
        <v>0</v>
      </c>
      <c r="S92" s="3">
        <v>0</v>
      </c>
      <c r="T92" s="6">
        <f t="shared" si="1"/>
        <v>0</v>
      </c>
      <c r="U92" t="s">
        <v>110</v>
      </c>
      <c r="V92" s="6">
        <v>0</v>
      </c>
      <c r="W92" s="6">
        <v>1</v>
      </c>
      <c r="X92" s="6">
        <v>1</v>
      </c>
      <c r="Y92" s="3">
        <v>3</v>
      </c>
      <c r="Z92" s="6">
        <v>2</v>
      </c>
      <c r="AA92" s="3">
        <v>7</v>
      </c>
      <c r="AB92" s="3">
        <v>0</v>
      </c>
      <c r="AC92" s="3">
        <v>1</v>
      </c>
      <c r="AD92" s="22">
        <v>2</v>
      </c>
      <c r="AE92" s="3">
        <v>4</v>
      </c>
      <c r="AF92" s="3">
        <v>1</v>
      </c>
      <c r="AG92" s="6">
        <v>1</v>
      </c>
      <c r="AH92" s="3">
        <v>0</v>
      </c>
      <c r="AI92" s="3">
        <v>1</v>
      </c>
      <c r="AJ92" s="3">
        <v>2</v>
      </c>
      <c r="AK92" s="3">
        <v>0</v>
      </c>
      <c r="AL92" s="3">
        <v>1</v>
      </c>
    </row>
    <row r="93" spans="1:38" s="14" customFormat="1" x14ac:dyDescent="0.35">
      <c r="A93" s="14">
        <v>92</v>
      </c>
      <c r="B93" s="14" t="s">
        <v>70</v>
      </c>
      <c r="C93" s="14">
        <v>-0.04</v>
      </c>
      <c r="D93" s="14" t="s">
        <v>137</v>
      </c>
      <c r="E93" s="14" t="s">
        <v>115</v>
      </c>
      <c r="F93" s="14">
        <v>0</v>
      </c>
      <c r="G93" s="14">
        <v>0</v>
      </c>
      <c r="H93" s="17">
        <v>0</v>
      </c>
      <c r="I93" s="6">
        <v>0</v>
      </c>
      <c r="J93" s="6">
        <v>0</v>
      </c>
      <c r="K93" s="6">
        <v>0</v>
      </c>
      <c r="L93" s="6">
        <v>0</v>
      </c>
      <c r="M93" s="6">
        <v>1</v>
      </c>
      <c r="N93" s="6">
        <v>0</v>
      </c>
      <c r="O93" s="6">
        <v>1</v>
      </c>
      <c r="P93" s="6">
        <v>0</v>
      </c>
      <c r="Q93" s="6">
        <v>1</v>
      </c>
      <c r="R93" s="6">
        <v>0</v>
      </c>
      <c r="S93" s="3">
        <v>0</v>
      </c>
      <c r="T93" s="6">
        <f t="shared" si="1"/>
        <v>0</v>
      </c>
      <c r="U93" s="14" t="s">
        <v>102</v>
      </c>
      <c r="V93" s="6">
        <v>0</v>
      </c>
      <c r="W93" s="6">
        <v>2</v>
      </c>
      <c r="X93" s="6">
        <v>2</v>
      </c>
      <c r="Y93" s="6">
        <v>2</v>
      </c>
      <c r="Z93" s="6">
        <v>2</v>
      </c>
      <c r="AA93" s="6">
        <v>40</v>
      </c>
      <c r="AB93" s="6">
        <v>0</v>
      </c>
      <c r="AC93" s="6">
        <v>4</v>
      </c>
      <c r="AD93" s="22">
        <v>3</v>
      </c>
      <c r="AE93" s="6">
        <v>3</v>
      </c>
      <c r="AF93" s="6">
        <v>2</v>
      </c>
      <c r="AG93" s="6">
        <v>1</v>
      </c>
      <c r="AH93" s="6">
        <v>0</v>
      </c>
      <c r="AI93" s="6">
        <v>2</v>
      </c>
      <c r="AJ93" s="6">
        <v>2</v>
      </c>
      <c r="AK93" s="6">
        <v>1</v>
      </c>
      <c r="AL93" s="6">
        <v>2</v>
      </c>
    </row>
    <row r="94" spans="1:38" x14ac:dyDescent="0.35">
      <c r="A94">
        <v>93</v>
      </c>
      <c r="B94" t="s">
        <v>66</v>
      </c>
      <c r="C94">
        <v>1.61</v>
      </c>
      <c r="D94" t="s">
        <v>114</v>
      </c>
      <c r="E94" t="s">
        <v>121</v>
      </c>
      <c r="F94">
        <v>1</v>
      </c>
      <c r="G94">
        <v>0</v>
      </c>
      <c r="H94" s="25">
        <v>1</v>
      </c>
      <c r="I94" s="3">
        <v>0</v>
      </c>
      <c r="J94" s="3">
        <v>0</v>
      </c>
      <c r="K94" s="3">
        <v>0</v>
      </c>
      <c r="L94" s="3">
        <v>0</v>
      </c>
      <c r="M94" s="3">
        <v>1</v>
      </c>
      <c r="N94" s="3">
        <v>0</v>
      </c>
      <c r="O94" s="3">
        <v>0</v>
      </c>
      <c r="P94" s="3">
        <v>0</v>
      </c>
      <c r="Q94" s="3">
        <v>0</v>
      </c>
      <c r="R94" s="3">
        <v>0</v>
      </c>
      <c r="S94" s="3">
        <v>0</v>
      </c>
      <c r="T94" s="6">
        <f t="shared" si="1"/>
        <v>0</v>
      </c>
      <c r="U94" t="s">
        <v>12</v>
      </c>
      <c r="V94" s="6">
        <v>2</v>
      </c>
      <c r="W94" s="6">
        <v>2</v>
      </c>
      <c r="X94" s="6">
        <v>0</v>
      </c>
      <c r="Y94" s="3">
        <v>9</v>
      </c>
      <c r="AA94" s="3">
        <v>7</v>
      </c>
      <c r="AB94" s="3">
        <v>0</v>
      </c>
      <c r="AC94" s="3">
        <v>5</v>
      </c>
      <c r="AD94" s="22">
        <v>2</v>
      </c>
      <c r="AE94" s="3">
        <v>4</v>
      </c>
      <c r="AF94" s="3">
        <v>0</v>
      </c>
      <c r="AG94" s="6">
        <v>3</v>
      </c>
      <c r="AH94" s="3">
        <v>3</v>
      </c>
      <c r="AI94" s="3">
        <v>3</v>
      </c>
      <c r="AJ94" s="3">
        <v>2</v>
      </c>
      <c r="AK94" s="3">
        <v>0</v>
      </c>
      <c r="AL94" s="3">
        <v>3</v>
      </c>
    </row>
    <row r="95" spans="1:38" x14ac:dyDescent="0.35">
      <c r="A95">
        <v>94</v>
      </c>
      <c r="B95" t="s">
        <v>160</v>
      </c>
      <c r="C95">
        <v>0.44</v>
      </c>
      <c r="D95" t="s">
        <v>124</v>
      </c>
      <c r="E95" t="s">
        <v>118</v>
      </c>
      <c r="F95">
        <v>0</v>
      </c>
      <c r="G95">
        <v>0</v>
      </c>
      <c r="H95" s="25">
        <v>0</v>
      </c>
      <c r="I95" s="3">
        <v>0</v>
      </c>
      <c r="J95" s="3">
        <v>0</v>
      </c>
      <c r="K95" s="3">
        <v>0</v>
      </c>
      <c r="L95" s="3">
        <v>1</v>
      </c>
      <c r="M95" s="3">
        <v>1</v>
      </c>
      <c r="N95" s="3">
        <v>0</v>
      </c>
      <c r="O95" s="3">
        <v>0</v>
      </c>
      <c r="P95" s="3">
        <v>0</v>
      </c>
      <c r="Q95" s="3">
        <v>1</v>
      </c>
      <c r="R95" s="3">
        <v>1</v>
      </c>
      <c r="S95" s="3">
        <v>0</v>
      </c>
      <c r="T95" s="6">
        <f t="shared" si="1"/>
        <v>0</v>
      </c>
      <c r="U95" t="s">
        <v>12</v>
      </c>
      <c r="V95" s="6">
        <v>0</v>
      </c>
      <c r="W95" s="6">
        <v>1</v>
      </c>
      <c r="X95" s="6">
        <v>1</v>
      </c>
      <c r="Y95" s="3">
        <v>1</v>
      </c>
      <c r="Z95" s="6">
        <v>1</v>
      </c>
      <c r="AA95" s="3">
        <v>15</v>
      </c>
      <c r="AB95" s="3">
        <v>1</v>
      </c>
      <c r="AC95" s="3">
        <v>5</v>
      </c>
      <c r="AE95" s="3">
        <v>1</v>
      </c>
      <c r="AF95" s="3">
        <v>0</v>
      </c>
      <c r="AG95" s="6">
        <v>1</v>
      </c>
      <c r="AH95" s="3">
        <v>0</v>
      </c>
      <c r="AI95" s="3">
        <v>1</v>
      </c>
      <c r="AJ95" s="3">
        <v>1</v>
      </c>
      <c r="AK95" s="3">
        <v>0</v>
      </c>
      <c r="AL95" s="3">
        <v>0</v>
      </c>
    </row>
    <row r="96" spans="1:38" x14ac:dyDescent="0.35">
      <c r="A96">
        <v>95</v>
      </c>
      <c r="B96" t="s">
        <v>70</v>
      </c>
      <c r="C96">
        <v>-0.04</v>
      </c>
      <c r="D96" t="s">
        <v>150</v>
      </c>
      <c r="E96" t="s">
        <v>118</v>
      </c>
      <c r="F96">
        <v>1</v>
      </c>
      <c r="G96">
        <v>0</v>
      </c>
      <c r="H96" s="25">
        <v>0</v>
      </c>
      <c r="I96" s="3">
        <v>0</v>
      </c>
      <c r="J96" s="3">
        <v>0</v>
      </c>
      <c r="K96" s="3">
        <v>0</v>
      </c>
      <c r="L96" s="3">
        <v>0</v>
      </c>
      <c r="M96" s="3">
        <v>1</v>
      </c>
      <c r="N96" s="3">
        <v>0</v>
      </c>
      <c r="O96" s="3">
        <v>1</v>
      </c>
      <c r="P96" s="3">
        <v>0</v>
      </c>
      <c r="Q96" s="3">
        <v>0</v>
      </c>
      <c r="R96" s="3">
        <v>1</v>
      </c>
      <c r="S96" s="3">
        <v>0</v>
      </c>
      <c r="T96" s="6">
        <f t="shared" si="1"/>
        <v>0</v>
      </c>
      <c r="U96" t="s">
        <v>14</v>
      </c>
      <c r="V96" s="6">
        <v>0</v>
      </c>
      <c r="W96" s="6">
        <v>0</v>
      </c>
      <c r="X96" s="6">
        <v>2</v>
      </c>
      <c r="Y96" s="3">
        <v>4</v>
      </c>
      <c r="Z96" s="6">
        <v>4</v>
      </c>
      <c r="AA96" s="3">
        <v>94</v>
      </c>
      <c r="AB96" s="3">
        <v>0</v>
      </c>
      <c r="AC96" s="3">
        <v>5</v>
      </c>
      <c r="AD96" s="22">
        <v>4</v>
      </c>
      <c r="AE96" s="3">
        <v>4</v>
      </c>
      <c r="AF96" s="3">
        <v>2</v>
      </c>
      <c r="AG96" s="6">
        <v>1</v>
      </c>
      <c r="AH96" s="3">
        <v>0</v>
      </c>
      <c r="AI96" s="3">
        <v>1</v>
      </c>
      <c r="AJ96" s="3">
        <v>1</v>
      </c>
      <c r="AK96" s="3">
        <v>2</v>
      </c>
      <c r="AL96" s="3">
        <v>3</v>
      </c>
    </row>
    <row r="97" spans="1:38" x14ac:dyDescent="0.35">
      <c r="A97">
        <v>96</v>
      </c>
      <c r="B97" t="s">
        <v>70</v>
      </c>
      <c r="C97">
        <v>-0.04</v>
      </c>
      <c r="D97" t="s">
        <v>150</v>
      </c>
      <c r="E97" t="s">
        <v>117</v>
      </c>
      <c r="F97">
        <v>1</v>
      </c>
      <c r="G97">
        <v>0</v>
      </c>
      <c r="H97" s="25">
        <v>0.25</v>
      </c>
      <c r="I97" s="3">
        <v>0</v>
      </c>
      <c r="J97" s="3">
        <v>1</v>
      </c>
      <c r="K97" s="3">
        <v>1</v>
      </c>
      <c r="L97" s="3">
        <v>0</v>
      </c>
      <c r="M97" s="3">
        <v>1</v>
      </c>
      <c r="N97" s="3">
        <v>0</v>
      </c>
      <c r="O97" s="3">
        <v>1</v>
      </c>
      <c r="P97" s="3">
        <v>0</v>
      </c>
      <c r="Q97" s="3">
        <v>1</v>
      </c>
      <c r="R97" s="3">
        <v>0</v>
      </c>
      <c r="S97" s="3">
        <v>0</v>
      </c>
      <c r="T97" s="6">
        <f t="shared" si="1"/>
        <v>0</v>
      </c>
      <c r="U97" t="s">
        <v>133</v>
      </c>
      <c r="V97" s="6">
        <v>0</v>
      </c>
      <c r="W97" s="6">
        <v>1</v>
      </c>
      <c r="X97" s="6">
        <v>1</v>
      </c>
      <c r="Y97" s="3">
        <v>2</v>
      </c>
      <c r="Z97" s="6">
        <v>2</v>
      </c>
      <c r="AA97" s="3">
        <v>135</v>
      </c>
      <c r="AB97" s="3">
        <v>3</v>
      </c>
      <c r="AC97" s="3">
        <v>3</v>
      </c>
      <c r="AD97" s="22">
        <v>2</v>
      </c>
      <c r="AE97" s="3">
        <v>4</v>
      </c>
      <c r="AF97" s="3">
        <v>3</v>
      </c>
      <c r="AG97" s="6">
        <v>2</v>
      </c>
      <c r="AH97" s="3">
        <v>1</v>
      </c>
      <c r="AI97" s="3">
        <v>1</v>
      </c>
      <c r="AJ97" s="3">
        <v>2</v>
      </c>
      <c r="AK97" s="3">
        <v>0</v>
      </c>
      <c r="AL97" s="3">
        <v>3</v>
      </c>
    </row>
    <row r="98" spans="1:38" x14ac:dyDescent="0.35">
      <c r="A98">
        <v>97</v>
      </c>
      <c r="B98" t="s">
        <v>64</v>
      </c>
      <c r="C98">
        <v>1.42</v>
      </c>
      <c r="D98" t="s">
        <v>150</v>
      </c>
      <c r="E98" t="s">
        <v>117</v>
      </c>
      <c r="F98">
        <v>1</v>
      </c>
      <c r="G98">
        <v>0</v>
      </c>
      <c r="H98" s="25">
        <v>1</v>
      </c>
      <c r="I98" s="3">
        <v>0</v>
      </c>
      <c r="J98" s="3">
        <v>1</v>
      </c>
      <c r="K98" s="3">
        <v>1</v>
      </c>
      <c r="L98" s="3">
        <v>0</v>
      </c>
      <c r="M98" s="3">
        <v>1</v>
      </c>
      <c r="N98" s="3">
        <v>0</v>
      </c>
      <c r="O98" s="3">
        <v>1</v>
      </c>
      <c r="P98" s="3">
        <v>0</v>
      </c>
      <c r="Q98" s="3">
        <v>0</v>
      </c>
      <c r="R98" s="3">
        <v>0</v>
      </c>
      <c r="S98" s="3">
        <v>0</v>
      </c>
      <c r="T98" s="6">
        <f t="shared" si="1"/>
        <v>0</v>
      </c>
      <c r="U98" t="s">
        <v>133</v>
      </c>
      <c r="V98" s="6">
        <v>0</v>
      </c>
      <c r="W98" s="6">
        <v>1</v>
      </c>
      <c r="X98" s="6">
        <v>0</v>
      </c>
      <c r="Y98" s="3">
        <v>3</v>
      </c>
      <c r="Z98" s="6">
        <v>3</v>
      </c>
      <c r="AA98" s="3">
        <v>4</v>
      </c>
      <c r="AB98" s="3">
        <v>2</v>
      </c>
      <c r="AC98" s="3">
        <v>5</v>
      </c>
      <c r="AD98" s="22">
        <v>1</v>
      </c>
      <c r="AE98" s="3">
        <v>4</v>
      </c>
      <c r="AF98" s="3">
        <v>1</v>
      </c>
      <c r="AG98" s="6">
        <v>1</v>
      </c>
      <c r="AH98" s="3">
        <v>0</v>
      </c>
      <c r="AI98" s="3">
        <v>2</v>
      </c>
      <c r="AJ98" s="3">
        <v>1</v>
      </c>
      <c r="AK98" s="3">
        <v>1</v>
      </c>
      <c r="AL98" s="3">
        <v>2</v>
      </c>
    </row>
    <row r="99" spans="1:38" s="14" customFormat="1" x14ac:dyDescent="0.35">
      <c r="A99" s="14">
        <v>98</v>
      </c>
      <c r="B99" s="14" t="s">
        <v>70</v>
      </c>
      <c r="C99" s="14">
        <v>-0.04</v>
      </c>
      <c r="D99" s="14" t="s">
        <v>150</v>
      </c>
      <c r="E99" s="14" t="s">
        <v>115</v>
      </c>
      <c r="F99" s="14">
        <v>1</v>
      </c>
      <c r="G99" s="14">
        <v>0</v>
      </c>
      <c r="H99" s="17">
        <v>0</v>
      </c>
      <c r="I99" s="6">
        <v>0</v>
      </c>
      <c r="J99" s="6">
        <v>0</v>
      </c>
      <c r="K99" s="6">
        <v>0</v>
      </c>
      <c r="L99" s="6">
        <v>0</v>
      </c>
      <c r="M99" s="6">
        <v>0</v>
      </c>
      <c r="N99" s="6">
        <v>0</v>
      </c>
      <c r="O99" s="6">
        <v>1</v>
      </c>
      <c r="P99" s="6">
        <v>0</v>
      </c>
      <c r="Q99" s="6">
        <v>0</v>
      </c>
      <c r="R99" s="6">
        <v>0</v>
      </c>
      <c r="S99" s="3">
        <v>0</v>
      </c>
      <c r="T99" s="6">
        <f t="shared" si="1"/>
        <v>0</v>
      </c>
      <c r="U99" s="14" t="s">
        <v>102</v>
      </c>
      <c r="V99" s="6">
        <v>0</v>
      </c>
      <c r="W99" s="6">
        <v>0</v>
      </c>
      <c r="X99" s="6">
        <v>0</v>
      </c>
      <c r="Y99" s="6">
        <v>2</v>
      </c>
      <c r="Z99" s="6">
        <v>2</v>
      </c>
      <c r="AA99" s="6">
        <v>40</v>
      </c>
      <c r="AB99" s="6">
        <v>1</v>
      </c>
      <c r="AC99" s="6">
        <v>4</v>
      </c>
      <c r="AD99" s="22">
        <v>2</v>
      </c>
      <c r="AE99" s="6">
        <v>4</v>
      </c>
      <c r="AF99" s="6">
        <v>0</v>
      </c>
      <c r="AG99" s="6">
        <v>1</v>
      </c>
      <c r="AH99" s="6">
        <v>1</v>
      </c>
      <c r="AI99" s="6">
        <v>1</v>
      </c>
      <c r="AJ99" s="6">
        <v>2</v>
      </c>
      <c r="AK99" s="6">
        <v>1</v>
      </c>
      <c r="AL99" s="6">
        <v>1</v>
      </c>
    </row>
    <row r="100" spans="1:38" s="14" customFormat="1" x14ac:dyDescent="0.35">
      <c r="A100" s="14">
        <v>99</v>
      </c>
      <c r="B100" s="14" t="s">
        <v>70</v>
      </c>
      <c r="C100" s="14">
        <v>-0.04</v>
      </c>
      <c r="D100" s="14" t="s">
        <v>124</v>
      </c>
      <c r="E100" s="14" t="s">
        <v>117</v>
      </c>
      <c r="F100" s="14">
        <v>0</v>
      </c>
      <c r="G100" s="14">
        <v>0</v>
      </c>
      <c r="H100" s="17">
        <v>1</v>
      </c>
      <c r="I100" s="6">
        <v>0</v>
      </c>
      <c r="J100" s="6">
        <v>0</v>
      </c>
      <c r="K100" s="6">
        <v>0</v>
      </c>
      <c r="L100" s="6">
        <v>0</v>
      </c>
      <c r="M100" s="6">
        <v>0</v>
      </c>
      <c r="N100" s="6">
        <v>0</v>
      </c>
      <c r="O100" s="6">
        <v>1</v>
      </c>
      <c r="P100" s="6">
        <v>0</v>
      </c>
      <c r="Q100" s="6">
        <v>0</v>
      </c>
      <c r="R100" s="6">
        <v>0</v>
      </c>
      <c r="S100" s="3">
        <v>0</v>
      </c>
      <c r="T100" s="6">
        <f t="shared" si="1"/>
        <v>0</v>
      </c>
      <c r="U100" s="14" t="s">
        <v>42</v>
      </c>
      <c r="V100" s="6">
        <v>0</v>
      </c>
      <c r="W100" s="6">
        <v>0</v>
      </c>
      <c r="X100" s="6">
        <v>0</v>
      </c>
      <c r="Y100" s="6">
        <v>1</v>
      </c>
      <c r="Z100" s="6">
        <v>4</v>
      </c>
      <c r="AA100" s="6">
        <v>99</v>
      </c>
      <c r="AB100" s="6">
        <v>3</v>
      </c>
      <c r="AC100" s="6">
        <v>3</v>
      </c>
      <c r="AD100" s="22">
        <v>1</v>
      </c>
      <c r="AE100" s="6">
        <v>4</v>
      </c>
      <c r="AF100" s="6">
        <v>3</v>
      </c>
      <c r="AG100" s="6">
        <v>0</v>
      </c>
      <c r="AH100" s="6">
        <v>0</v>
      </c>
      <c r="AI100" s="6">
        <v>2</v>
      </c>
      <c r="AJ100" s="6">
        <v>2</v>
      </c>
      <c r="AK100" s="6">
        <v>1</v>
      </c>
      <c r="AL100" s="6">
        <v>0</v>
      </c>
    </row>
    <row r="101" spans="1:38" x14ac:dyDescent="0.35">
      <c r="A101">
        <v>100</v>
      </c>
      <c r="B101" t="s">
        <v>70</v>
      </c>
      <c r="C101">
        <v>-0.04</v>
      </c>
      <c r="D101" t="s">
        <v>125</v>
      </c>
      <c r="E101" t="s">
        <v>121</v>
      </c>
      <c r="F101">
        <v>1</v>
      </c>
      <c r="G101">
        <v>0</v>
      </c>
      <c r="H101" s="25">
        <v>0.5</v>
      </c>
      <c r="I101" s="3">
        <v>0</v>
      </c>
      <c r="J101" s="3">
        <v>0</v>
      </c>
      <c r="K101" s="3">
        <v>0</v>
      </c>
      <c r="L101" s="3">
        <v>0</v>
      </c>
      <c r="M101" s="3">
        <v>1</v>
      </c>
      <c r="N101" s="3">
        <v>0</v>
      </c>
      <c r="O101" s="3">
        <v>1</v>
      </c>
      <c r="P101" s="3">
        <v>0</v>
      </c>
      <c r="Q101" s="3">
        <v>1</v>
      </c>
      <c r="R101" s="3">
        <v>1</v>
      </c>
      <c r="S101" s="3">
        <v>0</v>
      </c>
      <c r="T101" s="6">
        <f t="shared" si="1"/>
        <v>0</v>
      </c>
      <c r="U101" t="s">
        <v>110</v>
      </c>
      <c r="V101" s="6">
        <v>0</v>
      </c>
      <c r="W101" s="6">
        <v>2</v>
      </c>
      <c r="X101" s="6">
        <v>2</v>
      </c>
      <c r="Y101" s="3">
        <v>1</v>
      </c>
      <c r="Z101" s="6">
        <v>1</v>
      </c>
      <c r="AA101" s="3">
        <v>102</v>
      </c>
      <c r="AB101" s="3">
        <v>4</v>
      </c>
      <c r="AC101" s="3">
        <v>2</v>
      </c>
      <c r="AD101" s="22">
        <v>3</v>
      </c>
      <c r="AE101" s="3">
        <v>3</v>
      </c>
      <c r="AF101" s="3">
        <v>2</v>
      </c>
      <c r="AG101" s="6">
        <v>2</v>
      </c>
      <c r="AH101" s="3">
        <v>1</v>
      </c>
      <c r="AI101" s="3">
        <v>3</v>
      </c>
      <c r="AJ101" s="3">
        <v>1</v>
      </c>
      <c r="AK101" s="3">
        <v>1</v>
      </c>
      <c r="AL101" s="3">
        <v>2</v>
      </c>
    </row>
    <row r="102" spans="1:38" x14ac:dyDescent="0.35">
      <c r="A102">
        <v>101</v>
      </c>
      <c r="B102" t="s">
        <v>70</v>
      </c>
      <c r="C102">
        <v>-0.04</v>
      </c>
      <c r="D102" t="s">
        <v>150</v>
      </c>
      <c r="E102" t="s">
        <v>117</v>
      </c>
      <c r="F102">
        <v>1</v>
      </c>
      <c r="G102">
        <v>0</v>
      </c>
      <c r="H102" s="25">
        <v>0</v>
      </c>
      <c r="I102" s="3">
        <v>0</v>
      </c>
      <c r="J102" s="3">
        <v>0</v>
      </c>
      <c r="K102" s="3">
        <v>0</v>
      </c>
      <c r="L102" s="3">
        <v>0</v>
      </c>
      <c r="M102" s="3">
        <v>1</v>
      </c>
      <c r="N102" s="3">
        <v>0</v>
      </c>
      <c r="O102" s="3">
        <v>1</v>
      </c>
      <c r="P102" s="3">
        <v>0</v>
      </c>
      <c r="Q102" s="3">
        <v>0</v>
      </c>
      <c r="R102" s="3">
        <v>1</v>
      </c>
      <c r="S102" s="3">
        <v>0</v>
      </c>
      <c r="T102" s="6">
        <f t="shared" si="1"/>
        <v>0</v>
      </c>
      <c r="U102" t="s">
        <v>12</v>
      </c>
      <c r="V102" s="6">
        <v>0</v>
      </c>
      <c r="W102" s="6">
        <v>0</v>
      </c>
      <c r="X102" s="6">
        <v>0</v>
      </c>
      <c r="Y102" s="3">
        <v>2</v>
      </c>
      <c r="Z102" s="6">
        <v>3</v>
      </c>
      <c r="AA102" s="3">
        <v>57</v>
      </c>
      <c r="AB102" s="3">
        <v>2</v>
      </c>
      <c r="AC102" s="3">
        <v>4</v>
      </c>
      <c r="AD102" s="22">
        <v>1</v>
      </c>
      <c r="AE102" s="3">
        <v>1</v>
      </c>
      <c r="AF102" s="3">
        <v>0</v>
      </c>
      <c r="AG102" s="6">
        <v>0</v>
      </c>
      <c r="AH102" s="3">
        <v>1</v>
      </c>
      <c r="AI102" s="3">
        <v>1</v>
      </c>
      <c r="AJ102" s="3">
        <v>1</v>
      </c>
      <c r="AK102" s="3">
        <v>1</v>
      </c>
      <c r="AL102" s="3">
        <v>2</v>
      </c>
    </row>
    <row r="103" spans="1:38" x14ac:dyDescent="0.35">
      <c r="A103">
        <v>102</v>
      </c>
      <c r="B103" t="s">
        <v>70</v>
      </c>
      <c r="C103">
        <v>-0.04</v>
      </c>
      <c r="D103" t="s">
        <v>150</v>
      </c>
      <c r="E103" t="s">
        <v>117</v>
      </c>
      <c r="F103">
        <v>1</v>
      </c>
      <c r="G103">
        <v>0</v>
      </c>
      <c r="H103" s="25">
        <v>0.25</v>
      </c>
      <c r="I103" s="3">
        <v>0</v>
      </c>
      <c r="J103" s="3">
        <v>0</v>
      </c>
      <c r="K103" s="3">
        <v>0</v>
      </c>
      <c r="L103" s="3">
        <v>0</v>
      </c>
      <c r="M103" s="3">
        <v>1</v>
      </c>
      <c r="N103" s="3">
        <v>0</v>
      </c>
      <c r="O103" s="3">
        <v>0</v>
      </c>
      <c r="P103" s="3">
        <v>0</v>
      </c>
      <c r="Q103" s="3">
        <v>0</v>
      </c>
      <c r="R103" s="3">
        <v>0</v>
      </c>
      <c r="S103" s="3">
        <v>0</v>
      </c>
      <c r="T103" s="6">
        <f t="shared" si="1"/>
        <v>0</v>
      </c>
      <c r="U103" t="s">
        <v>12</v>
      </c>
      <c r="V103" s="6">
        <v>0</v>
      </c>
      <c r="W103" s="6">
        <v>2</v>
      </c>
      <c r="X103" s="6">
        <v>2</v>
      </c>
      <c r="Y103" s="3">
        <v>3</v>
      </c>
      <c r="Z103" s="6">
        <v>2</v>
      </c>
      <c r="AA103" s="3">
        <v>135</v>
      </c>
      <c r="AB103" s="3">
        <v>4</v>
      </c>
      <c r="AC103" s="3">
        <v>5</v>
      </c>
      <c r="AD103" s="22">
        <v>2</v>
      </c>
      <c r="AE103" s="3">
        <v>4</v>
      </c>
      <c r="AF103" s="3">
        <v>2</v>
      </c>
      <c r="AG103" s="6">
        <v>1</v>
      </c>
      <c r="AH103" s="3">
        <v>1</v>
      </c>
      <c r="AI103" s="3">
        <v>2</v>
      </c>
      <c r="AJ103" s="3">
        <v>2</v>
      </c>
      <c r="AK103" s="3">
        <v>1</v>
      </c>
      <c r="AL103" s="3">
        <v>3</v>
      </c>
    </row>
    <row r="104" spans="1:38" x14ac:dyDescent="0.35">
      <c r="A104">
        <v>103</v>
      </c>
      <c r="B104" t="s">
        <v>70</v>
      </c>
      <c r="C104">
        <v>-0.04</v>
      </c>
      <c r="D104" t="s">
        <v>150</v>
      </c>
      <c r="E104" t="s">
        <v>115</v>
      </c>
      <c r="F104">
        <v>1</v>
      </c>
      <c r="G104">
        <v>0</v>
      </c>
      <c r="H104" s="25">
        <v>0</v>
      </c>
      <c r="I104" s="3">
        <v>0</v>
      </c>
      <c r="J104" s="3">
        <v>0</v>
      </c>
      <c r="K104" s="3">
        <v>0</v>
      </c>
      <c r="L104" s="3">
        <v>0</v>
      </c>
      <c r="M104" s="3">
        <v>1</v>
      </c>
      <c r="N104" s="3">
        <v>0</v>
      </c>
      <c r="O104" s="3">
        <v>0</v>
      </c>
      <c r="P104" s="3">
        <v>0</v>
      </c>
      <c r="Q104" s="3">
        <v>0</v>
      </c>
      <c r="R104" s="3">
        <v>1</v>
      </c>
      <c r="S104" s="3">
        <v>0</v>
      </c>
      <c r="T104" s="6">
        <f t="shared" si="1"/>
        <v>0</v>
      </c>
      <c r="U104" t="s">
        <v>42</v>
      </c>
      <c r="V104" s="6">
        <v>0</v>
      </c>
      <c r="W104" s="6">
        <v>1</v>
      </c>
      <c r="X104" s="6">
        <v>0</v>
      </c>
      <c r="Y104" s="3">
        <v>1</v>
      </c>
      <c r="Z104" s="6">
        <v>1</v>
      </c>
      <c r="AA104" s="3">
        <v>98</v>
      </c>
      <c r="AB104" s="3">
        <v>0</v>
      </c>
      <c r="AC104" s="3">
        <v>4</v>
      </c>
      <c r="AD104" s="22">
        <v>3</v>
      </c>
      <c r="AE104" s="3">
        <v>1</v>
      </c>
      <c r="AF104" s="3">
        <v>1</v>
      </c>
      <c r="AG104" s="6">
        <v>0</v>
      </c>
      <c r="AH104" s="3">
        <v>0</v>
      </c>
      <c r="AI104" s="3">
        <v>1</v>
      </c>
      <c r="AJ104" s="3">
        <v>1</v>
      </c>
      <c r="AK104" s="3"/>
      <c r="AL104" s="3">
        <v>1</v>
      </c>
    </row>
    <row r="105" spans="1:38" x14ac:dyDescent="0.35">
      <c r="A105">
        <v>104</v>
      </c>
      <c r="B105" t="s">
        <v>66</v>
      </c>
      <c r="C105">
        <v>1.61</v>
      </c>
      <c r="D105" t="s">
        <v>114</v>
      </c>
      <c r="E105" t="s">
        <v>118</v>
      </c>
      <c r="F105">
        <v>1</v>
      </c>
      <c r="G105">
        <v>0</v>
      </c>
      <c r="H105" s="25">
        <v>0</v>
      </c>
      <c r="I105" s="3">
        <v>0</v>
      </c>
      <c r="J105" s="3">
        <v>0</v>
      </c>
      <c r="K105" s="3">
        <v>0</v>
      </c>
      <c r="L105" s="3">
        <v>0</v>
      </c>
      <c r="M105" s="3">
        <v>1</v>
      </c>
      <c r="N105" s="3">
        <v>0</v>
      </c>
      <c r="O105" s="3">
        <v>1</v>
      </c>
      <c r="P105" s="3">
        <v>0</v>
      </c>
      <c r="Q105" s="3">
        <v>0</v>
      </c>
      <c r="R105" s="3">
        <v>1</v>
      </c>
      <c r="S105" s="3">
        <v>0</v>
      </c>
      <c r="T105" s="6">
        <f t="shared" si="1"/>
        <v>0</v>
      </c>
      <c r="U105" t="s">
        <v>12</v>
      </c>
      <c r="V105" s="6">
        <v>0</v>
      </c>
      <c r="W105" s="6">
        <v>0</v>
      </c>
      <c r="X105" s="6">
        <v>0</v>
      </c>
      <c r="Y105" s="3">
        <v>1</v>
      </c>
      <c r="Z105" s="6">
        <v>1</v>
      </c>
      <c r="AA105" s="3">
        <v>7</v>
      </c>
      <c r="AB105" s="3">
        <v>5</v>
      </c>
      <c r="AC105" s="3">
        <v>2</v>
      </c>
      <c r="AD105" s="22">
        <v>3</v>
      </c>
      <c r="AE105" s="3">
        <v>4</v>
      </c>
      <c r="AF105" s="3">
        <v>0</v>
      </c>
      <c r="AG105" s="6">
        <v>1</v>
      </c>
      <c r="AH105" s="3">
        <v>1</v>
      </c>
      <c r="AI105" s="3">
        <v>2</v>
      </c>
      <c r="AJ105" s="3">
        <v>2</v>
      </c>
      <c r="AK105" s="3">
        <v>0</v>
      </c>
      <c r="AL105" s="3">
        <v>1</v>
      </c>
    </row>
    <row r="106" spans="1:38" s="14" customFormat="1" x14ac:dyDescent="0.35">
      <c r="A106" s="14">
        <v>105</v>
      </c>
      <c r="B106" s="14" t="s">
        <v>161</v>
      </c>
      <c r="C106" s="14">
        <v>1.47</v>
      </c>
      <c r="D106" s="14" t="s">
        <v>151</v>
      </c>
      <c r="E106" s="14" t="s">
        <v>121</v>
      </c>
      <c r="F106" s="14">
        <v>1</v>
      </c>
      <c r="G106" s="14">
        <v>0</v>
      </c>
      <c r="H106" s="17">
        <v>0</v>
      </c>
      <c r="I106" s="6">
        <v>0</v>
      </c>
      <c r="J106" s="6">
        <v>0</v>
      </c>
      <c r="K106" s="6">
        <v>0</v>
      </c>
      <c r="L106" s="6">
        <v>1</v>
      </c>
      <c r="M106" s="6">
        <v>0</v>
      </c>
      <c r="N106" s="6">
        <v>0</v>
      </c>
      <c r="O106" s="6">
        <v>1</v>
      </c>
      <c r="P106" s="6">
        <v>0</v>
      </c>
      <c r="Q106" s="6">
        <v>0</v>
      </c>
      <c r="R106" s="6">
        <v>0</v>
      </c>
      <c r="S106" s="3">
        <v>0</v>
      </c>
      <c r="T106" s="6">
        <f t="shared" si="1"/>
        <v>0</v>
      </c>
      <c r="U106" s="14" t="s">
        <v>102</v>
      </c>
      <c r="V106" s="6">
        <v>0</v>
      </c>
      <c r="W106" s="6">
        <v>1</v>
      </c>
      <c r="X106" s="6">
        <v>1</v>
      </c>
      <c r="Y106" s="6">
        <v>1</v>
      </c>
      <c r="Z106" s="6"/>
      <c r="AA106" s="6">
        <v>26</v>
      </c>
      <c r="AB106" s="6">
        <v>5</v>
      </c>
      <c r="AC106" s="6">
        <v>2</v>
      </c>
      <c r="AD106" s="22">
        <v>4</v>
      </c>
      <c r="AE106" s="6">
        <v>4</v>
      </c>
      <c r="AF106" s="6">
        <v>3</v>
      </c>
      <c r="AG106" s="6">
        <v>0</v>
      </c>
      <c r="AH106" s="6">
        <v>1</v>
      </c>
      <c r="AI106" s="6">
        <v>1</v>
      </c>
      <c r="AJ106" s="6">
        <v>1</v>
      </c>
      <c r="AK106" s="6"/>
      <c r="AL106" s="6"/>
    </row>
    <row r="107" spans="1:38" x14ac:dyDescent="0.35">
      <c r="A107">
        <v>106</v>
      </c>
      <c r="B107" t="s">
        <v>66</v>
      </c>
      <c r="C107">
        <v>1.61</v>
      </c>
      <c r="D107" t="s">
        <v>114</v>
      </c>
      <c r="E107" t="s">
        <v>115</v>
      </c>
      <c r="F107">
        <v>1</v>
      </c>
      <c r="G107">
        <v>0</v>
      </c>
      <c r="H107" s="25">
        <v>0</v>
      </c>
      <c r="I107" s="3">
        <v>0</v>
      </c>
      <c r="J107" s="3">
        <v>0</v>
      </c>
      <c r="K107" s="3">
        <v>0</v>
      </c>
      <c r="L107" s="3">
        <v>0</v>
      </c>
      <c r="M107" s="3">
        <v>1</v>
      </c>
      <c r="N107" s="3">
        <v>0</v>
      </c>
      <c r="O107" s="3">
        <v>0</v>
      </c>
      <c r="P107" s="3">
        <v>0</v>
      </c>
      <c r="Q107" s="3">
        <v>0</v>
      </c>
      <c r="R107" s="3">
        <v>0</v>
      </c>
      <c r="S107" s="3">
        <v>0</v>
      </c>
      <c r="T107" s="6">
        <f t="shared" si="1"/>
        <v>0</v>
      </c>
      <c r="U107" t="s">
        <v>42</v>
      </c>
      <c r="V107" s="6">
        <v>1</v>
      </c>
      <c r="W107" s="6">
        <v>2</v>
      </c>
      <c r="X107" s="6">
        <v>2</v>
      </c>
      <c r="Y107" s="3">
        <v>2</v>
      </c>
      <c r="Z107" s="6">
        <v>1</v>
      </c>
      <c r="AA107" s="3">
        <v>3</v>
      </c>
      <c r="AB107" s="3">
        <v>0</v>
      </c>
      <c r="AC107" s="3">
        <v>5</v>
      </c>
      <c r="AD107" s="22">
        <v>3</v>
      </c>
      <c r="AE107" s="3">
        <v>4</v>
      </c>
      <c r="AF107" s="3">
        <v>2</v>
      </c>
      <c r="AG107" s="6">
        <v>0</v>
      </c>
      <c r="AH107" s="3">
        <v>1</v>
      </c>
      <c r="AI107" s="3">
        <v>3</v>
      </c>
      <c r="AJ107" s="3">
        <v>2</v>
      </c>
      <c r="AK107" s="3">
        <v>0</v>
      </c>
      <c r="AL107" s="3">
        <v>2</v>
      </c>
    </row>
    <row r="108" spans="1:38" x14ac:dyDescent="0.35">
      <c r="A108">
        <v>107</v>
      </c>
      <c r="B108" t="s">
        <v>70</v>
      </c>
      <c r="C108">
        <v>-0.04</v>
      </c>
      <c r="D108" t="s">
        <v>150</v>
      </c>
      <c r="E108" t="s">
        <v>117</v>
      </c>
      <c r="F108">
        <v>1</v>
      </c>
      <c r="G108">
        <v>0</v>
      </c>
      <c r="H108" s="25">
        <v>0.75</v>
      </c>
      <c r="I108" s="3">
        <v>0</v>
      </c>
      <c r="J108" s="3">
        <v>0</v>
      </c>
      <c r="K108" s="3">
        <v>0</v>
      </c>
      <c r="L108" s="3">
        <v>0</v>
      </c>
      <c r="M108" s="3">
        <v>1</v>
      </c>
      <c r="N108" s="3">
        <v>0</v>
      </c>
      <c r="O108" s="3">
        <v>1</v>
      </c>
      <c r="P108" s="3">
        <v>0</v>
      </c>
      <c r="Q108" s="3">
        <v>1</v>
      </c>
      <c r="R108" s="3">
        <v>0</v>
      </c>
      <c r="S108" s="3">
        <v>1</v>
      </c>
      <c r="T108" s="6">
        <f t="shared" si="1"/>
        <v>0</v>
      </c>
      <c r="U108" t="s">
        <v>12</v>
      </c>
      <c r="V108" s="6">
        <v>0</v>
      </c>
      <c r="W108" s="6">
        <v>2</v>
      </c>
      <c r="X108" s="6">
        <v>2</v>
      </c>
      <c r="Y108" s="3">
        <v>3</v>
      </c>
      <c r="Z108" s="6">
        <v>3</v>
      </c>
      <c r="AA108" s="3">
        <v>60</v>
      </c>
      <c r="AB108" s="3">
        <v>5</v>
      </c>
      <c r="AC108" s="3">
        <v>5</v>
      </c>
      <c r="AD108" s="22">
        <v>3</v>
      </c>
      <c r="AE108" s="3">
        <v>4</v>
      </c>
      <c r="AF108" s="3">
        <v>2</v>
      </c>
      <c r="AG108" s="6">
        <v>1</v>
      </c>
      <c r="AH108" s="3">
        <v>0</v>
      </c>
      <c r="AI108" s="3">
        <v>1</v>
      </c>
      <c r="AJ108" s="3">
        <v>2</v>
      </c>
      <c r="AK108" s="3">
        <v>0</v>
      </c>
      <c r="AL108" s="3">
        <v>2</v>
      </c>
    </row>
    <row r="109" spans="1:38" x14ac:dyDescent="0.35">
      <c r="A109">
        <v>108</v>
      </c>
      <c r="B109" t="s">
        <v>66</v>
      </c>
      <c r="C109">
        <v>1.61</v>
      </c>
      <c r="D109" t="s">
        <v>114</v>
      </c>
      <c r="E109" t="s">
        <v>115</v>
      </c>
      <c r="F109">
        <v>1</v>
      </c>
      <c r="G109">
        <v>1</v>
      </c>
      <c r="H109" s="25">
        <v>0.75</v>
      </c>
      <c r="I109" s="3">
        <v>0</v>
      </c>
      <c r="J109" s="3">
        <v>1</v>
      </c>
      <c r="K109" s="3">
        <v>1</v>
      </c>
      <c r="L109" s="3">
        <v>1</v>
      </c>
      <c r="M109" s="3">
        <v>1</v>
      </c>
      <c r="N109" s="3">
        <v>0</v>
      </c>
      <c r="O109" s="3">
        <v>1</v>
      </c>
      <c r="P109" s="3">
        <v>0</v>
      </c>
      <c r="Q109" s="3">
        <v>1</v>
      </c>
      <c r="R109" s="3">
        <v>0</v>
      </c>
      <c r="S109" s="3">
        <v>0</v>
      </c>
      <c r="T109" s="6">
        <f t="shared" si="1"/>
        <v>0</v>
      </c>
      <c r="U109" t="s">
        <v>134</v>
      </c>
      <c r="V109" s="6">
        <v>2</v>
      </c>
      <c r="W109" s="6">
        <v>1</v>
      </c>
      <c r="X109" s="6">
        <v>2</v>
      </c>
      <c r="Y109" s="3">
        <v>3</v>
      </c>
      <c r="Z109" s="6">
        <v>4</v>
      </c>
      <c r="AA109" s="3">
        <v>8</v>
      </c>
      <c r="AB109" s="3">
        <v>4</v>
      </c>
      <c r="AC109" s="3">
        <v>2</v>
      </c>
      <c r="AD109" s="22">
        <v>2</v>
      </c>
      <c r="AE109" s="3">
        <v>3</v>
      </c>
      <c r="AF109" s="3">
        <v>1</v>
      </c>
      <c r="AG109" s="6">
        <v>0</v>
      </c>
      <c r="AH109" s="3">
        <v>1</v>
      </c>
      <c r="AI109" s="3">
        <v>2</v>
      </c>
      <c r="AJ109" s="3">
        <v>2</v>
      </c>
      <c r="AK109" s="3">
        <v>0</v>
      </c>
      <c r="AL109" s="3">
        <v>1</v>
      </c>
    </row>
    <row r="110" spans="1:38" x14ac:dyDescent="0.35">
      <c r="A110">
        <v>109</v>
      </c>
      <c r="B110" t="s">
        <v>70</v>
      </c>
      <c r="C110">
        <v>-0.04</v>
      </c>
      <c r="D110" t="s">
        <v>150</v>
      </c>
      <c r="E110" t="s">
        <v>118</v>
      </c>
      <c r="F110">
        <v>1</v>
      </c>
      <c r="G110">
        <v>0</v>
      </c>
      <c r="H110" s="25">
        <v>1</v>
      </c>
      <c r="I110" s="3">
        <v>0</v>
      </c>
      <c r="J110" s="3">
        <v>0</v>
      </c>
      <c r="K110" s="3">
        <v>0</v>
      </c>
      <c r="L110" s="3">
        <v>0</v>
      </c>
      <c r="M110" s="3">
        <v>0</v>
      </c>
      <c r="N110" s="3">
        <v>0</v>
      </c>
      <c r="O110" s="3">
        <v>0</v>
      </c>
      <c r="P110" s="3">
        <v>0</v>
      </c>
      <c r="Q110" s="3">
        <v>0</v>
      </c>
      <c r="R110" s="3">
        <v>0</v>
      </c>
      <c r="S110" s="3">
        <v>0</v>
      </c>
      <c r="T110" s="6">
        <f t="shared" si="1"/>
        <v>1</v>
      </c>
      <c r="U110" t="s">
        <v>42</v>
      </c>
      <c r="V110" s="6">
        <v>0</v>
      </c>
      <c r="W110" s="6">
        <v>2</v>
      </c>
      <c r="X110" s="6">
        <v>2</v>
      </c>
      <c r="Y110" s="3">
        <v>1</v>
      </c>
      <c r="Z110" s="6">
        <v>4</v>
      </c>
      <c r="AA110" s="3">
        <v>40</v>
      </c>
      <c r="AB110" s="3">
        <v>0</v>
      </c>
      <c r="AC110" s="3">
        <v>4</v>
      </c>
      <c r="AD110" s="22">
        <v>3</v>
      </c>
      <c r="AE110" s="3">
        <v>4</v>
      </c>
      <c r="AF110" s="3">
        <v>3</v>
      </c>
      <c r="AG110" s="6">
        <v>1</v>
      </c>
      <c r="AH110" s="3">
        <v>0</v>
      </c>
      <c r="AI110" s="3">
        <v>1</v>
      </c>
      <c r="AJ110" s="3">
        <v>2</v>
      </c>
      <c r="AK110" s="3">
        <v>0</v>
      </c>
      <c r="AL110" s="3">
        <v>3</v>
      </c>
    </row>
    <row r="111" spans="1:38" x14ac:dyDescent="0.35">
      <c r="A111">
        <v>110</v>
      </c>
      <c r="B111" t="s">
        <v>64</v>
      </c>
      <c r="C111">
        <v>1.42</v>
      </c>
      <c r="D111" t="s">
        <v>150</v>
      </c>
      <c r="E111" t="s">
        <v>118</v>
      </c>
      <c r="F111">
        <v>1</v>
      </c>
      <c r="G111">
        <v>0</v>
      </c>
      <c r="H111" s="25">
        <v>0</v>
      </c>
      <c r="I111" s="3">
        <v>0</v>
      </c>
      <c r="J111" s="3">
        <v>0</v>
      </c>
      <c r="K111" s="3">
        <v>0</v>
      </c>
      <c r="L111" s="3">
        <v>0</v>
      </c>
      <c r="M111" s="3">
        <v>0</v>
      </c>
      <c r="N111" s="3">
        <v>0</v>
      </c>
      <c r="O111" s="3">
        <v>1</v>
      </c>
      <c r="P111" s="3">
        <v>0</v>
      </c>
      <c r="Q111" s="3">
        <v>0</v>
      </c>
      <c r="R111" s="3">
        <v>0</v>
      </c>
      <c r="S111" s="3">
        <v>1</v>
      </c>
      <c r="T111" s="6">
        <f t="shared" si="1"/>
        <v>0</v>
      </c>
      <c r="U111" t="s">
        <v>42</v>
      </c>
      <c r="V111" s="6">
        <v>0</v>
      </c>
      <c r="W111" s="6">
        <v>0</v>
      </c>
      <c r="X111" s="6">
        <v>0</v>
      </c>
      <c r="Y111" s="3">
        <v>1</v>
      </c>
      <c r="Z111" s="6">
        <v>1</v>
      </c>
      <c r="AA111" s="3">
        <v>15</v>
      </c>
      <c r="AB111" s="3">
        <v>0</v>
      </c>
      <c r="AC111" s="3">
        <v>4</v>
      </c>
      <c r="AD111" s="22">
        <v>3</v>
      </c>
      <c r="AE111" s="3">
        <v>3</v>
      </c>
      <c r="AF111" s="3">
        <v>1</v>
      </c>
      <c r="AG111" s="6">
        <v>1</v>
      </c>
      <c r="AH111" s="3">
        <v>0</v>
      </c>
      <c r="AI111" s="3">
        <v>1</v>
      </c>
      <c r="AJ111" s="3">
        <v>2</v>
      </c>
      <c r="AK111" s="3">
        <v>0</v>
      </c>
      <c r="AL111" s="3">
        <v>1</v>
      </c>
    </row>
    <row r="112" spans="1:38" x14ac:dyDescent="0.35">
      <c r="A112">
        <v>111</v>
      </c>
      <c r="B112" t="s">
        <v>64</v>
      </c>
      <c r="C112">
        <v>1.42</v>
      </c>
      <c r="D112" t="s">
        <v>150</v>
      </c>
      <c r="E112" t="s">
        <v>117</v>
      </c>
      <c r="F112">
        <v>1</v>
      </c>
      <c r="G112">
        <v>0</v>
      </c>
      <c r="H112" s="25">
        <v>1</v>
      </c>
      <c r="I112" s="3">
        <v>0</v>
      </c>
      <c r="J112" s="3">
        <v>1</v>
      </c>
      <c r="K112" s="3">
        <v>1</v>
      </c>
      <c r="L112" s="3">
        <v>0</v>
      </c>
      <c r="M112" s="3">
        <v>0</v>
      </c>
      <c r="N112" s="3">
        <v>0</v>
      </c>
      <c r="O112" s="3">
        <v>1</v>
      </c>
      <c r="P112" s="3">
        <v>0</v>
      </c>
      <c r="Q112" s="3">
        <v>0</v>
      </c>
      <c r="R112" s="3">
        <v>0</v>
      </c>
      <c r="S112" s="3">
        <v>0</v>
      </c>
      <c r="T112" s="6">
        <f t="shared" si="1"/>
        <v>0</v>
      </c>
      <c r="U112" t="s">
        <v>134</v>
      </c>
      <c r="V112" s="6">
        <v>1</v>
      </c>
      <c r="W112" s="6">
        <v>2</v>
      </c>
      <c r="X112" s="6">
        <v>0</v>
      </c>
      <c r="Y112" s="14">
        <v>6</v>
      </c>
      <c r="Z112" s="6">
        <v>2</v>
      </c>
      <c r="AA112" s="3">
        <v>27</v>
      </c>
      <c r="AB112" s="3">
        <v>0</v>
      </c>
      <c r="AC112" s="3">
        <v>3</v>
      </c>
      <c r="AD112" s="22">
        <v>3</v>
      </c>
      <c r="AE112" s="3">
        <v>3</v>
      </c>
      <c r="AF112" s="3">
        <v>2</v>
      </c>
      <c r="AG112" s="6">
        <v>0</v>
      </c>
      <c r="AH112" s="3">
        <v>0</v>
      </c>
      <c r="AI112" s="3">
        <v>2</v>
      </c>
      <c r="AJ112" s="3">
        <v>1</v>
      </c>
      <c r="AK112" s="3">
        <v>0</v>
      </c>
      <c r="AL112" s="3">
        <v>1</v>
      </c>
    </row>
    <row r="113" spans="1:38" x14ac:dyDescent="0.35">
      <c r="A113">
        <v>112</v>
      </c>
      <c r="B113" t="s">
        <v>66</v>
      </c>
      <c r="C113">
        <v>1.61</v>
      </c>
      <c r="D113" t="s">
        <v>114</v>
      </c>
      <c r="E113" t="s">
        <v>117</v>
      </c>
      <c r="F113">
        <v>0</v>
      </c>
      <c r="G113">
        <v>0</v>
      </c>
      <c r="H113" s="25">
        <v>0</v>
      </c>
      <c r="I113" s="3">
        <v>0</v>
      </c>
      <c r="J113" s="3">
        <v>0</v>
      </c>
      <c r="K113" s="3">
        <v>0</v>
      </c>
      <c r="L113" s="3">
        <v>0</v>
      </c>
      <c r="M113" s="3">
        <v>0</v>
      </c>
      <c r="N113" s="3">
        <v>0</v>
      </c>
      <c r="O113" s="3">
        <v>1</v>
      </c>
      <c r="P113" s="3">
        <v>0</v>
      </c>
      <c r="Q113" s="3">
        <v>0</v>
      </c>
      <c r="R113" s="3">
        <v>1</v>
      </c>
      <c r="S113" s="3">
        <v>0</v>
      </c>
      <c r="T113" s="6">
        <f t="shared" si="1"/>
        <v>0</v>
      </c>
      <c r="U113" t="s">
        <v>14</v>
      </c>
      <c r="V113" s="6">
        <v>1</v>
      </c>
      <c r="W113" s="6">
        <v>1</v>
      </c>
      <c r="X113" s="6">
        <v>0</v>
      </c>
      <c r="Y113" s="3">
        <v>2</v>
      </c>
      <c r="Z113" s="6">
        <v>1</v>
      </c>
      <c r="AA113" s="3">
        <v>118</v>
      </c>
      <c r="AB113" s="3">
        <v>2</v>
      </c>
      <c r="AC113" s="3">
        <v>2</v>
      </c>
      <c r="AD113" s="22">
        <v>2</v>
      </c>
      <c r="AE113" s="3">
        <v>4</v>
      </c>
      <c r="AF113" s="3">
        <v>2</v>
      </c>
      <c r="AG113" s="6">
        <v>5</v>
      </c>
      <c r="AH113" s="3">
        <v>1</v>
      </c>
      <c r="AI113" s="3">
        <v>1</v>
      </c>
      <c r="AJ113" s="3">
        <v>2</v>
      </c>
      <c r="AK113" s="3">
        <v>0</v>
      </c>
      <c r="AL113" s="3">
        <v>1</v>
      </c>
    </row>
    <row r="114" spans="1:38" x14ac:dyDescent="0.35">
      <c r="A114">
        <v>113</v>
      </c>
      <c r="B114" t="s">
        <v>66</v>
      </c>
      <c r="C114">
        <v>1.61</v>
      </c>
      <c r="D114" t="s">
        <v>114</v>
      </c>
      <c r="E114" t="s">
        <v>115</v>
      </c>
      <c r="F114">
        <v>0</v>
      </c>
      <c r="G114">
        <v>0</v>
      </c>
      <c r="H114" s="25">
        <v>0</v>
      </c>
      <c r="I114" s="3">
        <v>0</v>
      </c>
      <c r="J114" s="3">
        <v>0</v>
      </c>
      <c r="K114" s="3">
        <v>0</v>
      </c>
      <c r="L114" s="3">
        <v>0</v>
      </c>
      <c r="M114" s="3">
        <v>1</v>
      </c>
      <c r="N114" s="3">
        <v>0</v>
      </c>
      <c r="O114" s="3">
        <v>1</v>
      </c>
      <c r="P114" s="3">
        <v>0</v>
      </c>
      <c r="Q114" s="3">
        <v>0</v>
      </c>
      <c r="R114" s="3">
        <v>1</v>
      </c>
      <c r="S114" s="3">
        <v>0</v>
      </c>
      <c r="T114" s="6">
        <f t="shared" si="1"/>
        <v>0</v>
      </c>
      <c r="U114" t="s">
        <v>14</v>
      </c>
      <c r="V114" s="6">
        <v>2</v>
      </c>
      <c r="W114" s="22">
        <v>0</v>
      </c>
      <c r="X114" s="22">
        <v>3</v>
      </c>
      <c r="Y114" s="3">
        <v>9</v>
      </c>
      <c r="Z114" s="6">
        <v>2</v>
      </c>
      <c r="AA114" s="3">
        <v>50</v>
      </c>
      <c r="AB114" s="3">
        <v>2</v>
      </c>
      <c r="AC114" s="3">
        <v>5</v>
      </c>
      <c r="AD114" s="22">
        <v>3</v>
      </c>
      <c r="AE114" s="3">
        <v>2</v>
      </c>
      <c r="AF114" s="3">
        <v>2</v>
      </c>
      <c r="AG114" s="6">
        <v>0</v>
      </c>
      <c r="AH114" s="3">
        <v>1</v>
      </c>
      <c r="AI114" s="11">
        <v>3</v>
      </c>
      <c r="AJ114" s="11">
        <v>2</v>
      </c>
      <c r="AK114" s="9">
        <v>1</v>
      </c>
      <c r="AL114" s="9">
        <v>2</v>
      </c>
    </row>
    <row r="115" spans="1:38" s="14" customFormat="1" x14ac:dyDescent="0.35">
      <c r="A115" s="14">
        <v>114</v>
      </c>
      <c r="B115" s="14" t="s">
        <v>127</v>
      </c>
      <c r="C115" s="14">
        <v>1.81</v>
      </c>
      <c r="D115" s="14" t="s">
        <v>150</v>
      </c>
      <c r="E115" s="14" t="s">
        <v>115</v>
      </c>
      <c r="F115" s="14">
        <v>1</v>
      </c>
      <c r="G115" s="14">
        <v>0</v>
      </c>
      <c r="H115" s="17">
        <v>0</v>
      </c>
      <c r="I115" s="6">
        <v>0</v>
      </c>
      <c r="J115" s="6">
        <v>0</v>
      </c>
      <c r="K115" s="6">
        <v>0</v>
      </c>
      <c r="L115" s="6">
        <v>0</v>
      </c>
      <c r="M115" s="6">
        <v>1</v>
      </c>
      <c r="N115" s="6">
        <v>0</v>
      </c>
      <c r="O115" s="6">
        <v>1</v>
      </c>
      <c r="P115" s="6">
        <v>0</v>
      </c>
      <c r="Q115" s="6">
        <v>0</v>
      </c>
      <c r="R115" s="6">
        <v>0</v>
      </c>
      <c r="S115" s="6">
        <v>1</v>
      </c>
      <c r="T115" s="6">
        <f t="shared" si="1"/>
        <v>0</v>
      </c>
      <c r="U115" s="14" t="s">
        <v>12</v>
      </c>
      <c r="V115" s="6">
        <v>0</v>
      </c>
      <c r="W115" s="6">
        <v>0</v>
      </c>
      <c r="X115" s="6">
        <v>0</v>
      </c>
      <c r="Y115" s="6">
        <v>2</v>
      </c>
      <c r="Z115" s="6">
        <v>2</v>
      </c>
      <c r="AA115" s="6">
        <v>28</v>
      </c>
      <c r="AB115" s="6">
        <v>0</v>
      </c>
      <c r="AC115" s="6">
        <v>4</v>
      </c>
      <c r="AD115" s="22">
        <v>4</v>
      </c>
      <c r="AE115" s="6">
        <v>4</v>
      </c>
      <c r="AF115" s="6">
        <v>1</v>
      </c>
      <c r="AG115" s="6">
        <v>0</v>
      </c>
      <c r="AH115" s="6">
        <v>0</v>
      </c>
      <c r="AI115" s="6">
        <v>1</v>
      </c>
      <c r="AJ115" s="6">
        <v>2</v>
      </c>
      <c r="AK115" s="6">
        <v>1</v>
      </c>
      <c r="AL115" s="6">
        <v>2</v>
      </c>
    </row>
    <row r="116" spans="1:38" s="14" customFormat="1" x14ac:dyDescent="0.35">
      <c r="A116" s="14">
        <v>115</v>
      </c>
      <c r="B116" s="14" t="s">
        <v>127</v>
      </c>
      <c r="C116" s="14">
        <v>1.81</v>
      </c>
      <c r="D116" s="14" t="s">
        <v>124</v>
      </c>
      <c r="E116" s="14" t="s">
        <v>115</v>
      </c>
      <c r="F116" s="14">
        <v>1</v>
      </c>
      <c r="G116" s="14">
        <v>0</v>
      </c>
      <c r="H116" s="17">
        <v>0.25</v>
      </c>
      <c r="I116" s="6">
        <v>0</v>
      </c>
      <c r="J116" s="6">
        <v>0</v>
      </c>
      <c r="K116" s="6">
        <v>0</v>
      </c>
      <c r="L116" s="6">
        <v>0</v>
      </c>
      <c r="M116" s="6">
        <v>1</v>
      </c>
      <c r="N116" s="6">
        <v>0</v>
      </c>
      <c r="O116" s="6">
        <v>1</v>
      </c>
      <c r="P116" s="6">
        <v>0</v>
      </c>
      <c r="Q116" s="6">
        <v>0</v>
      </c>
      <c r="R116" s="6">
        <v>0</v>
      </c>
      <c r="S116" s="6">
        <v>1</v>
      </c>
      <c r="T116" s="6">
        <f t="shared" si="1"/>
        <v>0</v>
      </c>
      <c r="U116" s="14" t="s">
        <v>102</v>
      </c>
      <c r="V116" s="6">
        <v>0</v>
      </c>
      <c r="W116" s="6">
        <v>1</v>
      </c>
      <c r="X116" s="6">
        <v>1</v>
      </c>
      <c r="Y116" s="6">
        <v>2</v>
      </c>
      <c r="Z116" s="6">
        <v>3</v>
      </c>
      <c r="AA116" s="6">
        <v>25</v>
      </c>
      <c r="AB116" s="6">
        <v>0</v>
      </c>
      <c r="AC116" s="6">
        <v>4</v>
      </c>
      <c r="AD116" s="22">
        <v>3</v>
      </c>
      <c r="AE116" s="6">
        <v>3</v>
      </c>
      <c r="AF116" s="6">
        <v>0</v>
      </c>
      <c r="AG116" s="6">
        <v>2</v>
      </c>
      <c r="AH116" s="6">
        <v>0</v>
      </c>
      <c r="AI116" s="6">
        <v>1</v>
      </c>
      <c r="AJ116" s="6">
        <v>1</v>
      </c>
      <c r="AK116" s="6">
        <v>0</v>
      </c>
      <c r="AL116" s="6">
        <v>2</v>
      </c>
    </row>
    <row r="117" spans="1:38" x14ac:dyDescent="0.35">
      <c r="A117">
        <v>116</v>
      </c>
      <c r="B117" t="s">
        <v>127</v>
      </c>
      <c r="C117">
        <v>1.81</v>
      </c>
      <c r="D117" t="s">
        <v>137</v>
      </c>
      <c r="E117" t="s">
        <v>115</v>
      </c>
      <c r="F117">
        <v>1</v>
      </c>
      <c r="G117">
        <v>0</v>
      </c>
      <c r="H117" s="25">
        <v>0</v>
      </c>
      <c r="I117" s="3">
        <v>0</v>
      </c>
      <c r="J117" s="3">
        <v>0</v>
      </c>
      <c r="K117" s="3">
        <v>0</v>
      </c>
      <c r="L117" s="3">
        <v>0</v>
      </c>
      <c r="M117" s="3">
        <v>0</v>
      </c>
      <c r="N117" s="3">
        <v>0</v>
      </c>
      <c r="O117" s="3">
        <v>1</v>
      </c>
      <c r="P117" s="3">
        <v>0</v>
      </c>
      <c r="Q117" s="3">
        <v>0</v>
      </c>
      <c r="R117" s="3">
        <v>0</v>
      </c>
      <c r="S117" s="3">
        <v>1</v>
      </c>
      <c r="T117" s="6">
        <f t="shared" si="1"/>
        <v>0</v>
      </c>
      <c r="U117" t="s">
        <v>106</v>
      </c>
      <c r="V117" s="6">
        <v>0</v>
      </c>
      <c r="W117" s="6">
        <v>0</v>
      </c>
      <c r="X117" s="6">
        <v>0</v>
      </c>
      <c r="Y117" s="3">
        <v>2</v>
      </c>
      <c r="Z117" s="6">
        <v>1</v>
      </c>
      <c r="AA117" s="3">
        <v>21</v>
      </c>
      <c r="AB117" s="3">
        <v>0</v>
      </c>
      <c r="AC117" s="3">
        <v>2</v>
      </c>
      <c r="AD117" s="22">
        <v>3</v>
      </c>
      <c r="AE117" s="3">
        <v>2</v>
      </c>
      <c r="AF117" s="3">
        <v>0</v>
      </c>
      <c r="AG117" s="6">
        <v>0</v>
      </c>
      <c r="AH117" s="3">
        <v>0</v>
      </c>
      <c r="AI117" s="3">
        <v>1</v>
      </c>
      <c r="AJ117" s="3">
        <v>0</v>
      </c>
      <c r="AK117" s="3">
        <v>0</v>
      </c>
      <c r="AL117" s="3">
        <v>0</v>
      </c>
    </row>
    <row r="118" spans="1:38" x14ac:dyDescent="0.35">
      <c r="A118">
        <v>117</v>
      </c>
      <c r="B118" t="s">
        <v>66</v>
      </c>
      <c r="C118">
        <v>1.61</v>
      </c>
      <c r="D118" t="s">
        <v>114</v>
      </c>
      <c r="E118" t="s">
        <v>115</v>
      </c>
      <c r="F118">
        <v>1</v>
      </c>
      <c r="G118">
        <v>0</v>
      </c>
      <c r="H118" s="25">
        <v>0</v>
      </c>
      <c r="I118" s="3">
        <v>0</v>
      </c>
      <c r="J118" s="3">
        <v>0</v>
      </c>
      <c r="K118" s="3">
        <v>0</v>
      </c>
      <c r="L118" s="3">
        <v>0</v>
      </c>
      <c r="M118" s="3">
        <v>0</v>
      </c>
      <c r="N118" s="3">
        <v>0</v>
      </c>
      <c r="O118" s="3">
        <v>0</v>
      </c>
      <c r="P118" s="3">
        <v>0</v>
      </c>
      <c r="Q118" s="3">
        <v>0</v>
      </c>
      <c r="R118" s="3">
        <v>0</v>
      </c>
      <c r="S118" s="3">
        <v>1</v>
      </c>
      <c r="T118" s="6">
        <f t="shared" si="1"/>
        <v>0</v>
      </c>
      <c r="U118" t="s">
        <v>106</v>
      </c>
      <c r="V118" s="6">
        <v>0</v>
      </c>
      <c r="W118" s="6">
        <v>2</v>
      </c>
      <c r="X118" s="6">
        <v>2</v>
      </c>
      <c r="Y118" s="3">
        <v>2</v>
      </c>
      <c r="Z118" s="6">
        <v>4</v>
      </c>
      <c r="AA118" s="3">
        <v>2</v>
      </c>
      <c r="AB118" s="3">
        <v>0</v>
      </c>
      <c r="AC118" s="3">
        <v>2</v>
      </c>
      <c r="AD118" s="22">
        <v>2</v>
      </c>
      <c r="AE118" s="3">
        <v>4</v>
      </c>
      <c r="AF118" s="3">
        <v>3</v>
      </c>
      <c r="AG118" s="6">
        <v>0</v>
      </c>
      <c r="AH118" s="3">
        <v>1</v>
      </c>
      <c r="AI118" s="3">
        <v>1</v>
      </c>
      <c r="AJ118" s="3">
        <v>2</v>
      </c>
      <c r="AK118" s="3">
        <v>0</v>
      </c>
      <c r="AL118" s="3">
        <v>2</v>
      </c>
    </row>
    <row r="119" spans="1:38" s="14" customFormat="1" x14ac:dyDescent="0.35">
      <c r="A119" s="14">
        <v>118</v>
      </c>
      <c r="B119" s="14" t="s">
        <v>160</v>
      </c>
      <c r="C119" s="14">
        <v>0.44</v>
      </c>
      <c r="D119" s="14" t="s">
        <v>124</v>
      </c>
      <c r="E119" s="14" t="s">
        <v>117</v>
      </c>
      <c r="F119" s="14">
        <v>0</v>
      </c>
      <c r="G119" s="14">
        <v>0</v>
      </c>
      <c r="H119" s="17">
        <v>0.5</v>
      </c>
      <c r="I119" s="6">
        <v>0</v>
      </c>
      <c r="J119" s="6">
        <v>0</v>
      </c>
      <c r="K119" s="6">
        <v>0</v>
      </c>
      <c r="L119" s="6">
        <v>0</v>
      </c>
      <c r="M119" s="6">
        <v>1</v>
      </c>
      <c r="N119" s="6">
        <v>0</v>
      </c>
      <c r="O119" s="6">
        <v>1</v>
      </c>
      <c r="P119" s="6">
        <v>0</v>
      </c>
      <c r="Q119" s="6">
        <v>0</v>
      </c>
      <c r="R119" s="6">
        <v>1</v>
      </c>
      <c r="S119" s="6">
        <v>0</v>
      </c>
      <c r="T119" s="6">
        <f t="shared" si="1"/>
        <v>0</v>
      </c>
      <c r="U119" s="14" t="s">
        <v>102</v>
      </c>
      <c r="V119" s="6">
        <v>0</v>
      </c>
      <c r="W119" s="6">
        <v>0</v>
      </c>
      <c r="X119" s="6">
        <v>0</v>
      </c>
      <c r="Y119" s="6">
        <v>3</v>
      </c>
      <c r="Z119" s="6">
        <v>4</v>
      </c>
      <c r="AA119" s="6">
        <v>12</v>
      </c>
      <c r="AB119" s="6">
        <v>2</v>
      </c>
      <c r="AC119" s="6">
        <v>5</v>
      </c>
      <c r="AD119" s="22">
        <v>1</v>
      </c>
      <c r="AE119" s="6">
        <v>4</v>
      </c>
      <c r="AF119" s="6">
        <v>3</v>
      </c>
      <c r="AG119" s="6">
        <v>2</v>
      </c>
      <c r="AH119" s="6">
        <v>2</v>
      </c>
      <c r="AI119" s="6">
        <v>1</v>
      </c>
      <c r="AJ119" s="6">
        <v>2</v>
      </c>
      <c r="AK119" s="6">
        <v>0</v>
      </c>
      <c r="AL119" s="6">
        <v>0</v>
      </c>
    </row>
    <row r="120" spans="1:38" s="14" customFormat="1" x14ac:dyDescent="0.35">
      <c r="A120" s="14">
        <v>119</v>
      </c>
      <c r="B120" s="14" t="s">
        <v>127</v>
      </c>
      <c r="C120" s="14">
        <v>1.81</v>
      </c>
      <c r="D120" s="14" t="s">
        <v>124</v>
      </c>
      <c r="E120" s="14" t="s">
        <v>115</v>
      </c>
      <c r="F120" s="29">
        <v>0</v>
      </c>
      <c r="G120" s="14">
        <v>0</v>
      </c>
      <c r="H120" s="17">
        <v>0.5</v>
      </c>
      <c r="I120" s="6">
        <v>0</v>
      </c>
      <c r="J120" s="6">
        <v>1</v>
      </c>
      <c r="K120" s="6">
        <v>0</v>
      </c>
      <c r="L120" s="6">
        <v>0</v>
      </c>
      <c r="M120" s="6">
        <v>1</v>
      </c>
      <c r="N120" s="6">
        <v>0</v>
      </c>
      <c r="O120" s="6">
        <v>1</v>
      </c>
      <c r="P120" s="6">
        <v>0</v>
      </c>
      <c r="Q120" s="6">
        <v>0</v>
      </c>
      <c r="R120" s="6">
        <v>0</v>
      </c>
      <c r="S120" s="6">
        <v>1</v>
      </c>
      <c r="T120" s="6">
        <f t="shared" si="1"/>
        <v>0</v>
      </c>
      <c r="U120" s="14" t="s">
        <v>102</v>
      </c>
      <c r="V120" s="6">
        <v>0</v>
      </c>
      <c r="W120" s="6">
        <v>1</v>
      </c>
      <c r="X120" s="6">
        <v>1</v>
      </c>
      <c r="Y120" s="6">
        <v>2</v>
      </c>
      <c r="Z120" s="6">
        <v>3</v>
      </c>
      <c r="AA120" s="6">
        <v>22</v>
      </c>
      <c r="AB120" s="6">
        <v>0</v>
      </c>
      <c r="AC120" s="6">
        <v>4</v>
      </c>
      <c r="AD120" s="22">
        <v>3</v>
      </c>
      <c r="AE120" s="6">
        <v>4</v>
      </c>
      <c r="AF120" s="6">
        <v>2</v>
      </c>
      <c r="AG120" s="6">
        <v>4</v>
      </c>
      <c r="AH120" s="6">
        <v>0</v>
      </c>
      <c r="AI120" s="6">
        <v>1</v>
      </c>
      <c r="AJ120" s="6">
        <v>2</v>
      </c>
      <c r="AK120" s="6">
        <v>1</v>
      </c>
      <c r="AL120" s="6">
        <v>2</v>
      </c>
    </row>
    <row r="121" spans="1:38" x14ac:dyDescent="0.35">
      <c r="A121">
        <v>120</v>
      </c>
      <c r="B121" t="s">
        <v>66</v>
      </c>
      <c r="C121">
        <v>1.61</v>
      </c>
      <c r="D121" t="s">
        <v>114</v>
      </c>
      <c r="E121" t="s">
        <v>115</v>
      </c>
      <c r="F121">
        <v>0</v>
      </c>
      <c r="G121">
        <v>0</v>
      </c>
      <c r="H121" s="25">
        <v>0.5</v>
      </c>
      <c r="I121" s="3">
        <v>0</v>
      </c>
      <c r="J121" s="3">
        <v>1</v>
      </c>
      <c r="K121" s="3">
        <v>0</v>
      </c>
      <c r="L121" s="3">
        <v>0</v>
      </c>
      <c r="M121" s="3">
        <v>1</v>
      </c>
      <c r="N121" s="3">
        <v>0</v>
      </c>
      <c r="O121" s="3">
        <v>1</v>
      </c>
      <c r="P121" s="3">
        <v>0</v>
      </c>
      <c r="Q121" s="3">
        <v>0</v>
      </c>
      <c r="R121" s="3">
        <v>0</v>
      </c>
      <c r="S121" s="3">
        <v>0</v>
      </c>
      <c r="T121" s="6">
        <f t="shared" si="1"/>
        <v>0</v>
      </c>
      <c r="U121" t="s">
        <v>12</v>
      </c>
      <c r="V121" s="6">
        <v>0</v>
      </c>
      <c r="W121" s="6">
        <v>0</v>
      </c>
      <c r="X121" s="6">
        <v>0</v>
      </c>
      <c r="Y121" s="3">
        <v>4</v>
      </c>
      <c r="Z121" s="6">
        <v>1</v>
      </c>
      <c r="AA121" s="3">
        <v>135</v>
      </c>
      <c r="AB121" s="3">
        <v>4</v>
      </c>
      <c r="AC121" s="3">
        <v>5</v>
      </c>
      <c r="AD121" s="22">
        <v>3</v>
      </c>
      <c r="AE121" s="3">
        <v>3</v>
      </c>
      <c r="AF121" s="3">
        <v>1</v>
      </c>
      <c r="AG121" s="6">
        <v>1</v>
      </c>
      <c r="AH121" s="3">
        <v>0</v>
      </c>
      <c r="AI121" s="3">
        <v>2</v>
      </c>
      <c r="AJ121" s="3">
        <v>2</v>
      </c>
      <c r="AK121" s="3">
        <v>2</v>
      </c>
      <c r="AL121" s="3">
        <v>3</v>
      </c>
    </row>
    <row r="122" spans="1:38" x14ac:dyDescent="0.35">
      <c r="A122">
        <v>121</v>
      </c>
      <c r="B122" t="s">
        <v>160</v>
      </c>
      <c r="C122">
        <v>0.44</v>
      </c>
      <c r="D122" t="s">
        <v>151</v>
      </c>
      <c r="E122" t="s">
        <v>117</v>
      </c>
      <c r="F122">
        <v>1</v>
      </c>
      <c r="G122">
        <v>0</v>
      </c>
      <c r="H122" s="25">
        <v>0.75</v>
      </c>
      <c r="I122" s="3">
        <v>0</v>
      </c>
      <c r="J122" s="3">
        <v>1</v>
      </c>
      <c r="K122" s="3">
        <v>1</v>
      </c>
      <c r="L122" s="3">
        <v>1</v>
      </c>
      <c r="M122" s="3">
        <v>1</v>
      </c>
      <c r="N122" s="3">
        <v>0</v>
      </c>
      <c r="O122" s="3">
        <v>1</v>
      </c>
      <c r="P122" s="3">
        <v>0</v>
      </c>
      <c r="Q122" s="3">
        <v>1</v>
      </c>
      <c r="R122" s="3">
        <v>1</v>
      </c>
      <c r="S122" s="3">
        <v>1</v>
      </c>
      <c r="T122" s="6">
        <f t="shared" si="1"/>
        <v>0</v>
      </c>
      <c r="U122" t="s">
        <v>12</v>
      </c>
      <c r="V122" s="6">
        <v>1</v>
      </c>
      <c r="W122" s="6">
        <v>2</v>
      </c>
      <c r="X122" s="6">
        <v>2</v>
      </c>
      <c r="Y122" s="3">
        <v>1</v>
      </c>
      <c r="Z122" s="6">
        <v>4</v>
      </c>
      <c r="AA122" s="3">
        <v>5</v>
      </c>
      <c r="AB122" s="3">
        <v>0</v>
      </c>
      <c r="AC122" s="3">
        <v>3</v>
      </c>
      <c r="AD122" s="22">
        <v>3</v>
      </c>
      <c r="AE122" s="3">
        <v>4</v>
      </c>
      <c r="AF122" s="3">
        <v>3</v>
      </c>
      <c r="AG122" s="6">
        <v>0</v>
      </c>
      <c r="AH122" s="3">
        <v>2</v>
      </c>
      <c r="AI122" s="3">
        <v>2</v>
      </c>
      <c r="AJ122" s="3">
        <v>2</v>
      </c>
      <c r="AK122" s="3">
        <v>0</v>
      </c>
      <c r="AL122" s="3">
        <v>3</v>
      </c>
    </row>
    <row r="123" spans="1:38" s="14" customFormat="1" x14ac:dyDescent="0.35">
      <c r="A123" s="14">
        <v>122</v>
      </c>
      <c r="B123" s="14" t="s">
        <v>127</v>
      </c>
      <c r="C123" s="14">
        <v>1.81</v>
      </c>
      <c r="D123" s="14" t="s">
        <v>124</v>
      </c>
      <c r="E123" s="14" t="s">
        <v>115</v>
      </c>
      <c r="F123" s="14">
        <v>1</v>
      </c>
      <c r="G123" s="14">
        <v>0</v>
      </c>
      <c r="H123" s="17">
        <v>0.25</v>
      </c>
      <c r="I123" s="6">
        <v>0</v>
      </c>
      <c r="J123" s="6">
        <v>1</v>
      </c>
      <c r="K123" s="6">
        <v>0</v>
      </c>
      <c r="L123" s="6">
        <v>0</v>
      </c>
      <c r="M123" s="6">
        <v>0</v>
      </c>
      <c r="N123" s="6">
        <v>0</v>
      </c>
      <c r="O123" s="6">
        <v>1</v>
      </c>
      <c r="P123" s="6">
        <v>0</v>
      </c>
      <c r="Q123" s="6">
        <v>0</v>
      </c>
      <c r="R123" s="6">
        <v>0</v>
      </c>
      <c r="S123" s="6">
        <v>1</v>
      </c>
      <c r="T123" s="6">
        <f t="shared" si="1"/>
        <v>0</v>
      </c>
      <c r="U123" s="14" t="s">
        <v>102</v>
      </c>
      <c r="V123" s="6">
        <v>0</v>
      </c>
      <c r="W123" s="6">
        <v>0</v>
      </c>
      <c r="X123" s="6">
        <v>0</v>
      </c>
      <c r="Y123" s="6">
        <v>1</v>
      </c>
      <c r="Z123" s="6">
        <v>3</v>
      </c>
      <c r="AA123" s="6">
        <v>15</v>
      </c>
      <c r="AB123" s="6">
        <v>0</v>
      </c>
      <c r="AC123" s="6">
        <v>1</v>
      </c>
      <c r="AD123" s="22">
        <v>3</v>
      </c>
      <c r="AE123" s="6">
        <v>3</v>
      </c>
      <c r="AF123" s="6">
        <v>0</v>
      </c>
      <c r="AG123" s="6">
        <v>0</v>
      </c>
      <c r="AH123" s="6">
        <v>0</v>
      </c>
      <c r="AI123" s="6">
        <v>1</v>
      </c>
      <c r="AJ123" s="6">
        <v>2</v>
      </c>
      <c r="AK123" s="6">
        <v>0</v>
      </c>
      <c r="AL123" s="6">
        <v>2</v>
      </c>
    </row>
    <row r="124" spans="1:38" x14ac:dyDescent="0.35">
      <c r="A124">
        <v>123</v>
      </c>
      <c r="B124" t="s">
        <v>70</v>
      </c>
      <c r="C124">
        <v>-0.04</v>
      </c>
      <c r="D124" t="s">
        <v>150</v>
      </c>
      <c r="E124" t="s">
        <v>117</v>
      </c>
      <c r="F124">
        <v>0</v>
      </c>
      <c r="G124">
        <v>0</v>
      </c>
      <c r="H124" s="25">
        <v>0</v>
      </c>
      <c r="I124" s="3">
        <v>0</v>
      </c>
      <c r="J124" s="3">
        <v>0</v>
      </c>
      <c r="K124" s="3">
        <v>0</v>
      </c>
      <c r="L124" s="3">
        <v>0</v>
      </c>
      <c r="M124" s="3">
        <v>0</v>
      </c>
      <c r="N124" s="3">
        <v>0</v>
      </c>
      <c r="O124" s="3">
        <v>0</v>
      </c>
      <c r="P124" s="3">
        <v>0</v>
      </c>
      <c r="Q124" s="3">
        <v>0</v>
      </c>
      <c r="R124" s="3">
        <v>0</v>
      </c>
      <c r="S124" s="3">
        <v>0</v>
      </c>
      <c r="T124" s="6">
        <f t="shared" si="1"/>
        <v>1</v>
      </c>
      <c r="U124" t="s">
        <v>42</v>
      </c>
      <c r="V124" s="6">
        <v>0</v>
      </c>
      <c r="W124" s="6">
        <v>0</v>
      </c>
      <c r="X124" s="6">
        <v>0</v>
      </c>
      <c r="Y124" s="3">
        <v>1</v>
      </c>
      <c r="Z124" s="6">
        <v>3</v>
      </c>
      <c r="AA124" s="3">
        <v>97</v>
      </c>
      <c r="AB124" s="3">
        <v>1</v>
      </c>
      <c r="AC124" s="3"/>
      <c r="AD124" s="22">
        <v>4</v>
      </c>
      <c r="AE124" s="3">
        <v>2</v>
      </c>
      <c r="AF124" s="3">
        <v>0</v>
      </c>
      <c r="AG124" s="6">
        <v>0</v>
      </c>
      <c r="AH124" s="3">
        <v>0</v>
      </c>
      <c r="AI124" s="3">
        <v>2</v>
      </c>
      <c r="AJ124" s="3"/>
      <c r="AK124" s="3">
        <v>1</v>
      </c>
      <c r="AL124" s="3">
        <v>0</v>
      </c>
    </row>
    <row r="125" spans="1:38" x14ac:dyDescent="0.35">
      <c r="A125">
        <v>124</v>
      </c>
      <c r="B125" t="s">
        <v>70</v>
      </c>
      <c r="C125">
        <v>-0.04</v>
      </c>
      <c r="D125" t="s">
        <v>150</v>
      </c>
      <c r="E125" t="s">
        <v>115</v>
      </c>
      <c r="F125">
        <v>1</v>
      </c>
      <c r="G125">
        <v>0</v>
      </c>
      <c r="H125" s="25">
        <v>0.5</v>
      </c>
      <c r="I125" s="3">
        <v>1</v>
      </c>
      <c r="J125" s="3">
        <v>0</v>
      </c>
      <c r="K125" s="3">
        <v>0</v>
      </c>
      <c r="L125" s="3">
        <v>0</v>
      </c>
      <c r="M125" s="3">
        <v>1</v>
      </c>
      <c r="N125" s="3">
        <v>0</v>
      </c>
      <c r="O125" s="3">
        <v>1</v>
      </c>
      <c r="P125" s="3">
        <v>0</v>
      </c>
      <c r="Q125" s="3">
        <v>0</v>
      </c>
      <c r="R125" s="3">
        <v>1</v>
      </c>
      <c r="S125" s="3">
        <v>0</v>
      </c>
      <c r="T125" s="6">
        <f t="shared" si="1"/>
        <v>0</v>
      </c>
      <c r="U125" s="3" t="s">
        <v>12</v>
      </c>
      <c r="V125" s="6">
        <v>0</v>
      </c>
      <c r="W125" s="6">
        <v>2</v>
      </c>
      <c r="X125" s="6">
        <v>2</v>
      </c>
      <c r="Y125" s="3">
        <v>2</v>
      </c>
      <c r="Z125" s="6">
        <v>2</v>
      </c>
      <c r="AA125" s="3">
        <v>60</v>
      </c>
      <c r="AB125" s="3">
        <v>6</v>
      </c>
      <c r="AC125" s="3">
        <v>4</v>
      </c>
      <c r="AD125" s="22">
        <v>3</v>
      </c>
      <c r="AE125" s="3">
        <v>3</v>
      </c>
      <c r="AF125" s="3">
        <v>2</v>
      </c>
      <c r="AG125" s="6">
        <v>0</v>
      </c>
      <c r="AH125" s="3">
        <v>1</v>
      </c>
      <c r="AI125" s="3">
        <v>1</v>
      </c>
      <c r="AJ125" s="3">
        <v>1</v>
      </c>
      <c r="AK125" s="3">
        <v>1</v>
      </c>
      <c r="AL125" s="3">
        <v>2</v>
      </c>
    </row>
    <row r="126" spans="1:38" x14ac:dyDescent="0.35">
      <c r="A126">
        <v>125</v>
      </c>
      <c r="B126" t="s">
        <v>160</v>
      </c>
      <c r="C126">
        <v>0.44</v>
      </c>
      <c r="D126" t="s">
        <v>151</v>
      </c>
      <c r="E126" t="s">
        <v>115</v>
      </c>
      <c r="F126">
        <v>0</v>
      </c>
      <c r="G126">
        <v>0</v>
      </c>
      <c r="H126" s="25">
        <v>0.5</v>
      </c>
      <c r="I126" s="3">
        <v>0</v>
      </c>
      <c r="J126" s="3">
        <v>1</v>
      </c>
      <c r="K126" s="3">
        <v>0</v>
      </c>
      <c r="L126" s="3">
        <v>0</v>
      </c>
      <c r="M126" s="3">
        <v>1</v>
      </c>
      <c r="N126" s="3">
        <v>0</v>
      </c>
      <c r="O126" s="3">
        <v>1</v>
      </c>
      <c r="P126" s="3">
        <v>0</v>
      </c>
      <c r="Q126" s="3">
        <v>0</v>
      </c>
      <c r="R126" s="3">
        <v>1</v>
      </c>
      <c r="S126" s="3">
        <v>0</v>
      </c>
      <c r="T126" s="6">
        <f t="shared" si="1"/>
        <v>0</v>
      </c>
      <c r="U126" t="s">
        <v>133</v>
      </c>
      <c r="V126" s="6">
        <v>0</v>
      </c>
      <c r="W126" s="6">
        <v>2</v>
      </c>
      <c r="X126" s="6">
        <v>2</v>
      </c>
      <c r="Y126" s="3">
        <v>2</v>
      </c>
      <c r="Z126" s="6">
        <v>1</v>
      </c>
      <c r="AA126" s="3">
        <v>6</v>
      </c>
      <c r="AB126" s="3">
        <v>4</v>
      </c>
      <c r="AC126" s="3">
        <v>5</v>
      </c>
      <c r="AD126" s="22">
        <v>4</v>
      </c>
      <c r="AE126" s="3">
        <v>3</v>
      </c>
      <c r="AF126" s="3">
        <v>2</v>
      </c>
      <c r="AG126" s="6">
        <v>3</v>
      </c>
      <c r="AH126" s="3">
        <v>1</v>
      </c>
      <c r="AI126" s="3">
        <v>1</v>
      </c>
      <c r="AJ126" s="3">
        <v>2</v>
      </c>
      <c r="AK126" s="3">
        <v>1</v>
      </c>
      <c r="AL126" s="3">
        <v>1</v>
      </c>
    </row>
    <row r="127" spans="1:38" x14ac:dyDescent="0.35">
      <c r="A127">
        <v>126</v>
      </c>
      <c r="B127" t="s">
        <v>127</v>
      </c>
      <c r="C127">
        <v>1.81</v>
      </c>
      <c r="D127" t="s">
        <v>124</v>
      </c>
      <c r="E127" t="s">
        <v>117</v>
      </c>
      <c r="F127">
        <v>1</v>
      </c>
      <c r="G127">
        <v>0</v>
      </c>
      <c r="H127" s="25">
        <v>0.75</v>
      </c>
      <c r="I127" s="3">
        <v>0</v>
      </c>
      <c r="J127" s="3">
        <v>0</v>
      </c>
      <c r="K127" s="3">
        <v>0</v>
      </c>
      <c r="L127" s="3">
        <v>0</v>
      </c>
      <c r="M127" s="3">
        <v>0</v>
      </c>
      <c r="N127" s="3">
        <v>0</v>
      </c>
      <c r="O127" s="3">
        <v>1</v>
      </c>
      <c r="P127" s="3">
        <v>0</v>
      </c>
      <c r="Q127" s="3">
        <v>0</v>
      </c>
      <c r="R127" s="3">
        <v>0</v>
      </c>
      <c r="S127" s="3">
        <v>1</v>
      </c>
      <c r="T127" s="6">
        <f t="shared" si="1"/>
        <v>0</v>
      </c>
      <c r="U127" t="s">
        <v>106</v>
      </c>
      <c r="V127" s="6">
        <v>0</v>
      </c>
      <c r="W127" s="6">
        <v>0</v>
      </c>
      <c r="X127" s="6">
        <v>0</v>
      </c>
      <c r="Y127" s="3">
        <v>5</v>
      </c>
      <c r="Z127" s="6">
        <v>1</v>
      </c>
      <c r="AA127" s="3">
        <v>18</v>
      </c>
      <c r="AB127" s="3">
        <v>1</v>
      </c>
      <c r="AC127" s="3">
        <v>2</v>
      </c>
      <c r="AD127" s="22">
        <v>1</v>
      </c>
      <c r="AE127" s="3">
        <v>4</v>
      </c>
      <c r="AF127" s="3">
        <v>1</v>
      </c>
      <c r="AG127" s="6">
        <v>1</v>
      </c>
      <c r="AH127" s="3">
        <v>0</v>
      </c>
      <c r="AI127" s="3">
        <v>1</v>
      </c>
      <c r="AJ127" s="3">
        <v>2</v>
      </c>
      <c r="AK127" s="3">
        <v>1</v>
      </c>
      <c r="AL127" s="3">
        <v>2</v>
      </c>
    </row>
    <row r="128" spans="1:38" x14ac:dyDescent="0.35">
      <c r="A128">
        <v>127</v>
      </c>
      <c r="B128" t="s">
        <v>66</v>
      </c>
      <c r="C128">
        <v>1.61</v>
      </c>
      <c r="D128" t="s">
        <v>114</v>
      </c>
      <c r="E128" t="s">
        <v>117</v>
      </c>
      <c r="F128">
        <v>1</v>
      </c>
      <c r="G128">
        <v>0</v>
      </c>
      <c r="H128" s="25">
        <v>0</v>
      </c>
      <c r="I128" s="3">
        <v>0</v>
      </c>
      <c r="J128" s="3">
        <v>0</v>
      </c>
      <c r="K128" s="3">
        <v>0</v>
      </c>
      <c r="L128" s="3">
        <v>0</v>
      </c>
      <c r="M128" s="3">
        <v>0</v>
      </c>
      <c r="N128" s="3">
        <v>0</v>
      </c>
      <c r="O128" s="3">
        <v>0</v>
      </c>
      <c r="P128" s="3">
        <v>0</v>
      </c>
      <c r="Q128" s="3">
        <v>0</v>
      </c>
      <c r="R128" s="3">
        <v>0</v>
      </c>
      <c r="S128" s="3">
        <v>0</v>
      </c>
      <c r="T128" s="6">
        <f t="shared" si="1"/>
        <v>1</v>
      </c>
      <c r="U128" t="s">
        <v>42</v>
      </c>
      <c r="V128" s="6">
        <v>0</v>
      </c>
      <c r="W128" s="6">
        <v>0</v>
      </c>
      <c r="X128" s="6">
        <v>2</v>
      </c>
      <c r="Y128" s="3">
        <v>4</v>
      </c>
      <c r="Z128" s="6">
        <v>1</v>
      </c>
      <c r="AA128" s="3">
        <v>116</v>
      </c>
      <c r="AB128" s="3">
        <v>0</v>
      </c>
      <c r="AC128" s="3">
        <v>3</v>
      </c>
      <c r="AD128" s="22">
        <v>3</v>
      </c>
      <c r="AE128" s="3">
        <v>4</v>
      </c>
      <c r="AF128" s="3">
        <v>2</v>
      </c>
      <c r="AG128" s="6">
        <v>0</v>
      </c>
      <c r="AH128" s="3">
        <v>2</v>
      </c>
      <c r="AI128" s="3">
        <v>3</v>
      </c>
      <c r="AJ128" s="3">
        <v>2</v>
      </c>
      <c r="AK128" s="3">
        <v>3</v>
      </c>
      <c r="AL128" s="3">
        <v>3</v>
      </c>
    </row>
    <row r="129" spans="1:38" x14ac:dyDescent="0.35">
      <c r="A129">
        <v>128</v>
      </c>
      <c r="B129" t="s">
        <v>66</v>
      </c>
      <c r="C129">
        <v>1.61</v>
      </c>
      <c r="D129" t="s">
        <v>114</v>
      </c>
      <c r="E129" t="s">
        <v>118</v>
      </c>
      <c r="F129">
        <v>0</v>
      </c>
      <c r="G129">
        <v>1</v>
      </c>
      <c r="H129" s="25">
        <v>1</v>
      </c>
      <c r="I129" s="3">
        <v>0</v>
      </c>
      <c r="J129" s="3">
        <v>1</v>
      </c>
      <c r="K129" s="3">
        <v>0</v>
      </c>
      <c r="L129" s="3">
        <v>0</v>
      </c>
      <c r="M129" s="3">
        <v>0</v>
      </c>
      <c r="N129" s="3">
        <v>1</v>
      </c>
      <c r="O129" s="3">
        <v>0</v>
      </c>
      <c r="P129" s="3">
        <v>0</v>
      </c>
      <c r="Q129" s="3">
        <v>0</v>
      </c>
      <c r="R129" s="3">
        <v>1</v>
      </c>
      <c r="S129" s="3">
        <v>1</v>
      </c>
      <c r="T129" s="6">
        <f t="shared" si="1"/>
        <v>0</v>
      </c>
      <c r="U129" t="s">
        <v>101</v>
      </c>
      <c r="V129" s="6">
        <v>0</v>
      </c>
      <c r="W129" s="6">
        <v>2</v>
      </c>
      <c r="X129" s="6">
        <v>0</v>
      </c>
      <c r="Y129" s="3">
        <v>3</v>
      </c>
      <c r="Z129" s="6">
        <v>2</v>
      </c>
      <c r="AA129" s="3">
        <v>9</v>
      </c>
      <c r="AB129" s="3">
        <v>0</v>
      </c>
      <c r="AC129" s="3">
        <v>3</v>
      </c>
      <c r="AD129" s="22">
        <v>4</v>
      </c>
      <c r="AE129" s="3">
        <v>3</v>
      </c>
      <c r="AF129" s="3">
        <v>0</v>
      </c>
      <c r="AG129" s="6">
        <v>1</v>
      </c>
      <c r="AH129" s="3">
        <v>2</v>
      </c>
      <c r="AI129" s="3">
        <v>2</v>
      </c>
      <c r="AJ129" s="3">
        <v>2</v>
      </c>
      <c r="AK129" s="3">
        <v>0</v>
      </c>
      <c r="AL129" s="3">
        <v>2</v>
      </c>
    </row>
    <row r="130" spans="1:38" x14ac:dyDescent="0.35">
      <c r="A130">
        <v>129</v>
      </c>
      <c r="B130" t="s">
        <v>70</v>
      </c>
      <c r="C130">
        <v>-0.04</v>
      </c>
      <c r="D130" t="s">
        <v>125</v>
      </c>
      <c r="E130" t="s">
        <v>117</v>
      </c>
      <c r="F130">
        <v>1</v>
      </c>
      <c r="G130">
        <v>0</v>
      </c>
      <c r="H130" s="25">
        <v>0.25</v>
      </c>
      <c r="I130" s="3">
        <v>0</v>
      </c>
      <c r="J130" s="3">
        <v>1</v>
      </c>
      <c r="K130" s="3">
        <v>0</v>
      </c>
      <c r="L130" s="3">
        <v>1</v>
      </c>
      <c r="M130" s="3">
        <v>1</v>
      </c>
      <c r="N130" s="3">
        <v>0</v>
      </c>
      <c r="O130" s="3">
        <v>1</v>
      </c>
      <c r="P130" s="3">
        <v>0</v>
      </c>
      <c r="Q130" s="3">
        <v>1</v>
      </c>
      <c r="R130" s="3">
        <v>1</v>
      </c>
      <c r="S130" s="3">
        <v>0</v>
      </c>
      <c r="T130" s="6">
        <f t="shared" ref="T130:T193" si="2">IF(SUM(I130:S130)=0,1,0)</f>
        <v>0</v>
      </c>
      <c r="U130" t="s">
        <v>133</v>
      </c>
      <c r="V130" s="6">
        <v>0</v>
      </c>
      <c r="W130" s="6">
        <v>2</v>
      </c>
      <c r="X130" s="6">
        <v>2</v>
      </c>
      <c r="Y130" s="3">
        <v>1</v>
      </c>
      <c r="Z130" s="6">
        <v>2</v>
      </c>
      <c r="AA130" s="3">
        <v>40</v>
      </c>
      <c r="AB130" s="3">
        <v>2</v>
      </c>
      <c r="AC130" s="3">
        <v>3</v>
      </c>
      <c r="AD130" s="22">
        <v>1</v>
      </c>
      <c r="AE130" s="3">
        <v>1</v>
      </c>
      <c r="AF130" s="3">
        <v>1</v>
      </c>
      <c r="AG130" s="6">
        <v>1</v>
      </c>
      <c r="AH130" s="3">
        <v>3</v>
      </c>
      <c r="AI130" s="3">
        <v>2</v>
      </c>
      <c r="AJ130" s="3">
        <v>1</v>
      </c>
      <c r="AK130" s="3">
        <v>0</v>
      </c>
      <c r="AL130" s="3">
        <v>2</v>
      </c>
    </row>
    <row r="131" spans="1:38" x14ac:dyDescent="0.35">
      <c r="A131">
        <v>130</v>
      </c>
      <c r="B131" t="s">
        <v>70</v>
      </c>
      <c r="C131">
        <v>-0.04</v>
      </c>
      <c r="D131" t="s">
        <v>125</v>
      </c>
      <c r="E131" t="s">
        <v>115</v>
      </c>
      <c r="F131">
        <v>1</v>
      </c>
      <c r="G131">
        <v>0</v>
      </c>
      <c r="H131" s="25">
        <v>0.25</v>
      </c>
      <c r="I131" s="3">
        <v>0</v>
      </c>
      <c r="J131" s="3">
        <v>1</v>
      </c>
      <c r="K131" s="3">
        <v>0</v>
      </c>
      <c r="L131" s="3">
        <v>0</v>
      </c>
      <c r="M131" s="3">
        <v>1</v>
      </c>
      <c r="N131" s="3">
        <v>0</v>
      </c>
      <c r="O131" s="3">
        <v>1</v>
      </c>
      <c r="P131" s="3">
        <v>0</v>
      </c>
      <c r="Q131" s="3">
        <v>1</v>
      </c>
      <c r="R131" s="3">
        <v>1</v>
      </c>
      <c r="S131" s="3">
        <v>1</v>
      </c>
      <c r="T131" s="6">
        <f t="shared" si="2"/>
        <v>0</v>
      </c>
      <c r="U131" t="s">
        <v>12</v>
      </c>
      <c r="V131" s="6">
        <v>0</v>
      </c>
      <c r="W131" s="6">
        <v>2</v>
      </c>
      <c r="X131" s="6">
        <v>2</v>
      </c>
      <c r="Y131" s="3">
        <v>1</v>
      </c>
      <c r="Z131" s="6">
        <v>1</v>
      </c>
      <c r="AA131" s="3">
        <v>103</v>
      </c>
      <c r="AB131" s="3">
        <v>2</v>
      </c>
      <c r="AC131" s="3">
        <v>5</v>
      </c>
      <c r="AD131" s="22">
        <v>1</v>
      </c>
      <c r="AE131" s="3">
        <v>2</v>
      </c>
      <c r="AF131" s="3">
        <v>2</v>
      </c>
      <c r="AG131" s="6">
        <v>1</v>
      </c>
      <c r="AH131" s="3">
        <v>0</v>
      </c>
      <c r="AI131" s="3">
        <v>2</v>
      </c>
      <c r="AJ131" s="3">
        <v>2</v>
      </c>
      <c r="AK131" s="3">
        <v>0</v>
      </c>
      <c r="AL131" s="3">
        <v>2</v>
      </c>
    </row>
    <row r="132" spans="1:38" x14ac:dyDescent="0.35">
      <c r="A132">
        <v>131</v>
      </c>
      <c r="B132" t="s">
        <v>161</v>
      </c>
      <c r="C132">
        <v>1.47</v>
      </c>
      <c r="D132" t="s">
        <v>151</v>
      </c>
      <c r="E132" t="s">
        <v>115</v>
      </c>
      <c r="F132">
        <v>1</v>
      </c>
      <c r="G132">
        <v>0</v>
      </c>
      <c r="H132" s="25">
        <v>0</v>
      </c>
      <c r="I132" s="3">
        <v>0</v>
      </c>
      <c r="J132" s="3">
        <v>0</v>
      </c>
      <c r="K132" s="3">
        <v>0</v>
      </c>
      <c r="L132" s="3">
        <v>0</v>
      </c>
      <c r="M132" s="3">
        <v>0</v>
      </c>
      <c r="N132" s="3">
        <v>0</v>
      </c>
      <c r="O132" s="3">
        <v>0</v>
      </c>
      <c r="P132" s="3">
        <v>0</v>
      </c>
      <c r="Q132" s="3">
        <v>0</v>
      </c>
      <c r="R132" s="3">
        <v>0</v>
      </c>
      <c r="S132" s="3">
        <v>0</v>
      </c>
      <c r="T132" s="6">
        <f t="shared" si="2"/>
        <v>1</v>
      </c>
      <c r="U132" t="s">
        <v>42</v>
      </c>
      <c r="V132" s="6">
        <v>0</v>
      </c>
      <c r="W132" s="6">
        <v>0</v>
      </c>
      <c r="X132" s="6">
        <v>0</v>
      </c>
      <c r="Y132" s="3">
        <v>1</v>
      </c>
      <c r="Z132" s="6">
        <v>1</v>
      </c>
      <c r="AA132" s="3">
        <v>13</v>
      </c>
      <c r="AB132" s="3">
        <v>0</v>
      </c>
      <c r="AC132" s="3">
        <v>3</v>
      </c>
      <c r="AD132" s="22">
        <v>3</v>
      </c>
      <c r="AE132" s="3">
        <v>3</v>
      </c>
      <c r="AF132" s="3">
        <v>2</v>
      </c>
      <c r="AG132" s="6">
        <v>0</v>
      </c>
      <c r="AH132" s="3">
        <v>0</v>
      </c>
      <c r="AI132" s="3">
        <v>1</v>
      </c>
      <c r="AJ132" s="3">
        <v>1</v>
      </c>
      <c r="AK132" s="3">
        <v>3</v>
      </c>
      <c r="AL132" s="3">
        <v>0</v>
      </c>
    </row>
    <row r="133" spans="1:38" x14ac:dyDescent="0.35">
      <c r="A133">
        <v>132</v>
      </c>
      <c r="B133" t="s">
        <v>66</v>
      </c>
      <c r="C133">
        <v>1.61</v>
      </c>
      <c r="D133" t="s">
        <v>114</v>
      </c>
      <c r="E133" t="s">
        <v>117</v>
      </c>
      <c r="F133">
        <v>0</v>
      </c>
      <c r="G133">
        <v>1</v>
      </c>
      <c r="H133" s="25">
        <v>1</v>
      </c>
      <c r="I133" s="3">
        <v>0</v>
      </c>
      <c r="J133" s="3">
        <v>1</v>
      </c>
      <c r="K133" s="3">
        <v>0</v>
      </c>
      <c r="L133" s="3">
        <v>0</v>
      </c>
      <c r="M133" s="3">
        <v>1</v>
      </c>
      <c r="N133" s="3">
        <v>0</v>
      </c>
      <c r="O133" s="3">
        <v>1</v>
      </c>
      <c r="P133" s="3">
        <v>1</v>
      </c>
      <c r="Q133" s="3">
        <v>1</v>
      </c>
      <c r="R133" s="3">
        <v>0</v>
      </c>
      <c r="S133" s="3">
        <v>0</v>
      </c>
      <c r="T133" s="6">
        <f t="shared" si="2"/>
        <v>0</v>
      </c>
      <c r="U133" t="s">
        <v>12</v>
      </c>
      <c r="V133" s="6">
        <v>0</v>
      </c>
      <c r="W133" s="6">
        <v>2</v>
      </c>
      <c r="X133" s="6">
        <v>2</v>
      </c>
      <c r="Y133" s="3">
        <v>3</v>
      </c>
      <c r="Z133" s="6">
        <v>2</v>
      </c>
      <c r="AA133" s="3">
        <v>7</v>
      </c>
      <c r="AB133" s="3">
        <v>1</v>
      </c>
      <c r="AC133" s="3">
        <v>5</v>
      </c>
      <c r="AD133" s="22">
        <v>2</v>
      </c>
      <c r="AE133" s="3">
        <v>4</v>
      </c>
      <c r="AF133" s="3">
        <v>1</v>
      </c>
      <c r="AG133" s="6">
        <v>2</v>
      </c>
      <c r="AH133" s="3">
        <v>1</v>
      </c>
      <c r="AI133" s="3">
        <v>3</v>
      </c>
      <c r="AJ133" s="3">
        <v>2</v>
      </c>
      <c r="AK133" s="3">
        <v>1</v>
      </c>
      <c r="AL133" s="3">
        <v>2</v>
      </c>
    </row>
    <row r="134" spans="1:38" s="14" customFormat="1" x14ac:dyDescent="0.35">
      <c r="A134" s="14">
        <v>133</v>
      </c>
      <c r="B134" s="14" t="s">
        <v>70</v>
      </c>
      <c r="C134" s="14">
        <v>-0.04</v>
      </c>
      <c r="D134" s="14" t="s">
        <v>150</v>
      </c>
      <c r="E134" s="14" t="s">
        <v>118</v>
      </c>
      <c r="F134" s="14">
        <v>1</v>
      </c>
      <c r="G134" s="14">
        <v>0</v>
      </c>
      <c r="H134" s="17">
        <v>0</v>
      </c>
      <c r="I134" s="6">
        <v>0</v>
      </c>
      <c r="J134" s="6">
        <v>0</v>
      </c>
      <c r="K134" s="6">
        <v>0</v>
      </c>
      <c r="L134" s="6">
        <v>0</v>
      </c>
      <c r="M134" s="6">
        <v>0</v>
      </c>
      <c r="N134" s="6">
        <v>0</v>
      </c>
      <c r="O134" s="6">
        <v>1</v>
      </c>
      <c r="P134" s="6">
        <v>0</v>
      </c>
      <c r="Q134" s="6">
        <v>0</v>
      </c>
      <c r="R134" s="6">
        <v>0</v>
      </c>
      <c r="S134" s="6">
        <v>0</v>
      </c>
      <c r="T134" s="6">
        <f t="shared" si="2"/>
        <v>0</v>
      </c>
      <c r="U134" s="14" t="s">
        <v>102</v>
      </c>
      <c r="V134" s="6">
        <v>0</v>
      </c>
      <c r="W134" s="6">
        <v>2</v>
      </c>
      <c r="X134" s="6">
        <v>2</v>
      </c>
      <c r="Y134" s="6">
        <v>3</v>
      </c>
      <c r="Z134" s="6">
        <v>3</v>
      </c>
      <c r="AA134" s="6">
        <v>40</v>
      </c>
      <c r="AB134" s="6">
        <v>2</v>
      </c>
      <c r="AC134" s="6">
        <v>4</v>
      </c>
      <c r="AD134" s="22">
        <v>3</v>
      </c>
      <c r="AE134" s="6">
        <v>4</v>
      </c>
      <c r="AF134" s="6">
        <v>2</v>
      </c>
      <c r="AG134" s="6">
        <v>2</v>
      </c>
      <c r="AH134" s="6">
        <v>0</v>
      </c>
      <c r="AI134" s="6">
        <v>1</v>
      </c>
      <c r="AJ134" s="6">
        <v>2</v>
      </c>
      <c r="AK134" s="6">
        <v>1</v>
      </c>
      <c r="AL134" s="6">
        <v>3</v>
      </c>
    </row>
    <row r="135" spans="1:38" x14ac:dyDescent="0.35">
      <c r="A135">
        <v>134</v>
      </c>
      <c r="B135" t="s">
        <v>70</v>
      </c>
      <c r="C135">
        <v>-0.04</v>
      </c>
      <c r="D135" t="s">
        <v>151</v>
      </c>
      <c r="E135" t="s">
        <v>117</v>
      </c>
      <c r="F135">
        <v>1</v>
      </c>
      <c r="G135">
        <v>0</v>
      </c>
      <c r="H135" s="25">
        <v>0.25</v>
      </c>
      <c r="I135" s="3">
        <v>0</v>
      </c>
      <c r="J135" s="3">
        <v>0</v>
      </c>
      <c r="K135" s="3">
        <v>0</v>
      </c>
      <c r="L135" s="3">
        <v>0</v>
      </c>
      <c r="M135" s="3">
        <v>0</v>
      </c>
      <c r="N135" s="3">
        <v>0</v>
      </c>
      <c r="O135" s="3">
        <v>0</v>
      </c>
      <c r="P135" s="3">
        <v>0</v>
      </c>
      <c r="Q135" s="3">
        <v>0</v>
      </c>
      <c r="R135" s="3">
        <v>0</v>
      </c>
      <c r="S135" s="3">
        <v>0</v>
      </c>
      <c r="T135" s="6">
        <f t="shared" si="2"/>
        <v>1</v>
      </c>
      <c r="U135" t="s">
        <v>42</v>
      </c>
      <c r="V135" s="6">
        <v>0</v>
      </c>
      <c r="W135" s="6">
        <v>0</v>
      </c>
      <c r="X135" s="6">
        <v>0</v>
      </c>
      <c r="Y135" s="3">
        <v>1</v>
      </c>
      <c r="Z135" s="6">
        <v>2</v>
      </c>
      <c r="AA135" s="3">
        <v>101</v>
      </c>
      <c r="AB135" s="3">
        <v>3</v>
      </c>
      <c r="AC135" s="3">
        <v>4</v>
      </c>
      <c r="AD135" s="22">
        <v>2</v>
      </c>
      <c r="AE135" s="3">
        <v>1</v>
      </c>
      <c r="AF135" s="3">
        <v>0</v>
      </c>
      <c r="AG135" s="6">
        <v>0</v>
      </c>
      <c r="AH135" s="3">
        <v>0</v>
      </c>
      <c r="AI135" s="3">
        <v>1</v>
      </c>
      <c r="AJ135" s="3">
        <v>2</v>
      </c>
      <c r="AK135" s="3">
        <v>0</v>
      </c>
      <c r="AL135" s="3">
        <v>0</v>
      </c>
    </row>
    <row r="136" spans="1:38" x14ac:dyDescent="0.35">
      <c r="A136">
        <v>135</v>
      </c>
      <c r="B136" t="s">
        <v>70</v>
      </c>
      <c r="C136">
        <v>-0.04</v>
      </c>
      <c r="D136" t="s">
        <v>150</v>
      </c>
      <c r="E136" t="s">
        <v>121</v>
      </c>
      <c r="F136">
        <v>0</v>
      </c>
      <c r="G136">
        <v>0</v>
      </c>
      <c r="H136" s="25">
        <v>0.5</v>
      </c>
      <c r="I136" s="3">
        <v>0</v>
      </c>
      <c r="J136" s="3">
        <v>1</v>
      </c>
      <c r="K136" s="3">
        <v>0</v>
      </c>
      <c r="L136" s="3">
        <v>0</v>
      </c>
      <c r="M136" s="3">
        <v>1</v>
      </c>
      <c r="N136" s="3">
        <v>0</v>
      </c>
      <c r="O136" s="3">
        <v>1</v>
      </c>
      <c r="P136" s="3">
        <v>0</v>
      </c>
      <c r="Q136" s="3">
        <v>0</v>
      </c>
      <c r="R136" s="3">
        <v>0</v>
      </c>
      <c r="S136" s="3">
        <v>0</v>
      </c>
      <c r="T136" s="6">
        <f t="shared" si="2"/>
        <v>0</v>
      </c>
      <c r="U136" t="s">
        <v>133</v>
      </c>
      <c r="V136" s="6">
        <v>0</v>
      </c>
      <c r="W136" s="6">
        <v>0</v>
      </c>
      <c r="X136" s="6">
        <v>0</v>
      </c>
      <c r="Y136" s="3">
        <v>2</v>
      </c>
      <c r="Z136" s="6">
        <v>3</v>
      </c>
      <c r="AA136" s="3">
        <v>100</v>
      </c>
      <c r="AB136" s="3">
        <v>4</v>
      </c>
      <c r="AC136" s="3">
        <v>5</v>
      </c>
      <c r="AD136" s="22">
        <v>3</v>
      </c>
      <c r="AE136" s="3">
        <v>2</v>
      </c>
      <c r="AF136" s="3">
        <v>2</v>
      </c>
      <c r="AG136" s="6">
        <v>0</v>
      </c>
      <c r="AH136" s="3">
        <v>0</v>
      </c>
      <c r="AI136" s="3">
        <v>1</v>
      </c>
      <c r="AJ136" s="3">
        <v>1</v>
      </c>
      <c r="AK136" s="3">
        <v>2</v>
      </c>
      <c r="AL136" s="3">
        <v>2</v>
      </c>
    </row>
    <row r="137" spans="1:38" x14ac:dyDescent="0.35">
      <c r="A137">
        <v>136</v>
      </c>
      <c r="B137" t="s">
        <v>70</v>
      </c>
      <c r="C137">
        <v>-0.04</v>
      </c>
      <c r="D137" t="s">
        <v>150</v>
      </c>
      <c r="E137" t="s">
        <v>115</v>
      </c>
      <c r="F137">
        <v>0</v>
      </c>
      <c r="G137">
        <v>0</v>
      </c>
      <c r="H137" s="25">
        <v>0.75</v>
      </c>
      <c r="I137" s="3">
        <v>0</v>
      </c>
      <c r="J137" s="3">
        <v>0</v>
      </c>
      <c r="K137" s="3">
        <v>0</v>
      </c>
      <c r="L137" s="3">
        <v>0</v>
      </c>
      <c r="M137" s="3">
        <v>1</v>
      </c>
      <c r="N137" s="3">
        <v>0</v>
      </c>
      <c r="O137" s="3">
        <v>1</v>
      </c>
      <c r="P137" s="3">
        <v>0</v>
      </c>
      <c r="Q137" s="3">
        <v>0</v>
      </c>
      <c r="R137" s="3">
        <v>1</v>
      </c>
      <c r="S137" s="3">
        <v>0</v>
      </c>
      <c r="T137" s="6">
        <f t="shared" si="2"/>
        <v>0</v>
      </c>
      <c r="U137" t="s">
        <v>12</v>
      </c>
      <c r="V137" s="6">
        <v>0</v>
      </c>
      <c r="W137" s="6">
        <v>1</v>
      </c>
      <c r="X137" s="6">
        <v>2</v>
      </c>
      <c r="Y137" s="3">
        <v>2</v>
      </c>
      <c r="Z137" s="6">
        <v>2</v>
      </c>
      <c r="AA137" s="3">
        <v>40</v>
      </c>
      <c r="AB137" s="3">
        <v>3</v>
      </c>
      <c r="AC137" s="3">
        <v>4</v>
      </c>
      <c r="AD137" s="22">
        <v>3</v>
      </c>
      <c r="AE137" s="3">
        <v>3</v>
      </c>
      <c r="AF137" s="3">
        <v>2</v>
      </c>
      <c r="AG137" s="6">
        <v>1</v>
      </c>
      <c r="AH137" s="3">
        <v>2</v>
      </c>
      <c r="AI137" s="3">
        <v>2</v>
      </c>
      <c r="AJ137" s="3">
        <v>2</v>
      </c>
      <c r="AK137" s="3">
        <v>0</v>
      </c>
      <c r="AL137" s="3">
        <v>2</v>
      </c>
    </row>
    <row r="138" spans="1:38" x14ac:dyDescent="0.35">
      <c r="A138">
        <v>137</v>
      </c>
      <c r="B138" t="s">
        <v>70</v>
      </c>
      <c r="C138">
        <v>-0.04</v>
      </c>
      <c r="D138" t="s">
        <v>150</v>
      </c>
      <c r="E138" t="s">
        <v>115</v>
      </c>
      <c r="F138">
        <v>0</v>
      </c>
      <c r="G138">
        <v>0</v>
      </c>
      <c r="H138" s="25">
        <v>1</v>
      </c>
      <c r="I138" s="3">
        <v>0</v>
      </c>
      <c r="J138" s="3">
        <v>1</v>
      </c>
      <c r="K138" s="3">
        <v>0</v>
      </c>
      <c r="L138" s="3">
        <v>1</v>
      </c>
      <c r="M138" s="3">
        <v>1</v>
      </c>
      <c r="N138" s="3">
        <v>0</v>
      </c>
      <c r="O138" s="3">
        <v>1</v>
      </c>
      <c r="P138" s="3">
        <v>0</v>
      </c>
      <c r="Q138" s="3">
        <v>0</v>
      </c>
      <c r="R138" s="3">
        <v>1</v>
      </c>
      <c r="S138" s="3">
        <v>1</v>
      </c>
      <c r="T138" s="6">
        <f t="shared" si="2"/>
        <v>0</v>
      </c>
      <c r="U138" t="s">
        <v>133</v>
      </c>
      <c r="V138" s="6">
        <v>0</v>
      </c>
      <c r="W138" s="6">
        <v>0</v>
      </c>
      <c r="X138" s="6">
        <v>0</v>
      </c>
      <c r="Y138" s="3">
        <v>2</v>
      </c>
      <c r="Z138" s="6">
        <v>2</v>
      </c>
      <c r="AA138" s="3">
        <v>101</v>
      </c>
      <c r="AB138" s="3">
        <v>0</v>
      </c>
      <c r="AC138" s="3">
        <v>5</v>
      </c>
      <c r="AD138" s="22">
        <v>4</v>
      </c>
      <c r="AE138" s="3">
        <v>3</v>
      </c>
      <c r="AF138" s="3">
        <v>1</v>
      </c>
      <c r="AG138" s="6">
        <v>2</v>
      </c>
      <c r="AH138" s="3">
        <v>1</v>
      </c>
      <c r="AI138" s="3">
        <v>1</v>
      </c>
      <c r="AJ138" s="3">
        <v>2</v>
      </c>
      <c r="AK138" s="3">
        <v>0</v>
      </c>
      <c r="AL138" s="3">
        <v>2</v>
      </c>
    </row>
    <row r="139" spans="1:38" x14ac:dyDescent="0.35">
      <c r="A139">
        <v>138</v>
      </c>
      <c r="B139" t="s">
        <v>70</v>
      </c>
      <c r="C139">
        <v>-0.04</v>
      </c>
      <c r="D139" t="s">
        <v>150</v>
      </c>
      <c r="E139" t="s">
        <v>117</v>
      </c>
      <c r="F139">
        <v>1</v>
      </c>
      <c r="G139">
        <v>0</v>
      </c>
      <c r="H139" s="25">
        <v>0</v>
      </c>
      <c r="I139" s="3">
        <v>0</v>
      </c>
      <c r="J139" s="3">
        <v>0</v>
      </c>
      <c r="K139" s="3">
        <v>0</v>
      </c>
      <c r="L139" s="3">
        <v>0</v>
      </c>
      <c r="M139" s="3">
        <v>0</v>
      </c>
      <c r="N139" s="3">
        <v>0</v>
      </c>
      <c r="O139" s="3">
        <v>0</v>
      </c>
      <c r="P139" s="3">
        <v>0</v>
      </c>
      <c r="Q139" s="3">
        <v>0</v>
      </c>
      <c r="R139" s="3">
        <v>0</v>
      </c>
      <c r="S139" s="3">
        <v>0</v>
      </c>
      <c r="T139" s="6">
        <f t="shared" si="2"/>
        <v>1</v>
      </c>
      <c r="U139" t="s">
        <v>42</v>
      </c>
      <c r="V139" s="6">
        <v>0</v>
      </c>
      <c r="W139" s="6">
        <v>1</v>
      </c>
      <c r="X139" s="6">
        <v>1</v>
      </c>
      <c r="Y139" s="3">
        <v>1</v>
      </c>
      <c r="Z139" s="6">
        <v>4</v>
      </c>
      <c r="AA139" s="3">
        <v>96</v>
      </c>
      <c r="AB139" s="3">
        <v>0</v>
      </c>
      <c r="AC139" s="3">
        <v>4</v>
      </c>
      <c r="AD139" s="22">
        <v>3</v>
      </c>
      <c r="AE139" s="3">
        <v>3</v>
      </c>
      <c r="AF139" s="3">
        <v>0</v>
      </c>
      <c r="AG139" s="6">
        <v>0</v>
      </c>
      <c r="AH139" s="3">
        <v>0</v>
      </c>
      <c r="AI139" s="3">
        <v>1</v>
      </c>
      <c r="AJ139" s="3">
        <v>2</v>
      </c>
      <c r="AK139" s="3">
        <v>2</v>
      </c>
      <c r="AL139" s="3">
        <v>1</v>
      </c>
    </row>
    <row r="140" spans="1:38" x14ac:dyDescent="0.35">
      <c r="A140">
        <v>139</v>
      </c>
      <c r="B140" t="s">
        <v>66</v>
      </c>
      <c r="C140">
        <v>1.61</v>
      </c>
      <c r="D140" t="s">
        <v>114</v>
      </c>
      <c r="E140" t="s">
        <v>118</v>
      </c>
      <c r="F140">
        <v>0</v>
      </c>
      <c r="G140">
        <v>0</v>
      </c>
      <c r="H140" s="25">
        <v>1</v>
      </c>
      <c r="I140" s="3">
        <v>0</v>
      </c>
      <c r="J140" s="3">
        <v>0</v>
      </c>
      <c r="K140" s="3">
        <v>0</v>
      </c>
      <c r="L140" s="3">
        <v>1</v>
      </c>
      <c r="M140" s="3">
        <v>1</v>
      </c>
      <c r="N140" s="3">
        <v>0</v>
      </c>
      <c r="O140" s="3">
        <v>1</v>
      </c>
      <c r="P140" s="3">
        <v>0</v>
      </c>
      <c r="Q140" s="3">
        <v>0</v>
      </c>
      <c r="R140" s="3">
        <v>1</v>
      </c>
      <c r="S140" s="3">
        <v>1</v>
      </c>
      <c r="T140" s="6">
        <f t="shared" si="2"/>
        <v>0</v>
      </c>
      <c r="U140" t="s">
        <v>12</v>
      </c>
      <c r="V140" s="6">
        <v>1</v>
      </c>
      <c r="W140" s="6">
        <v>2</v>
      </c>
      <c r="X140" s="6">
        <v>0</v>
      </c>
      <c r="Y140" s="3">
        <v>4</v>
      </c>
      <c r="Z140" s="6">
        <v>3</v>
      </c>
      <c r="AA140" s="3">
        <v>7</v>
      </c>
      <c r="AB140" s="3">
        <v>0</v>
      </c>
      <c r="AC140" s="3">
        <v>2</v>
      </c>
      <c r="AD140" s="22">
        <v>2</v>
      </c>
      <c r="AE140" s="3">
        <v>4</v>
      </c>
      <c r="AF140" s="3">
        <v>2</v>
      </c>
      <c r="AG140" s="6">
        <v>4</v>
      </c>
      <c r="AH140" s="3">
        <v>0</v>
      </c>
      <c r="AI140" s="3">
        <v>2</v>
      </c>
      <c r="AJ140" s="3">
        <v>2</v>
      </c>
      <c r="AK140" s="3">
        <v>1</v>
      </c>
      <c r="AL140" s="3">
        <v>2</v>
      </c>
    </row>
    <row r="141" spans="1:38" x14ac:dyDescent="0.35">
      <c r="A141">
        <v>140</v>
      </c>
      <c r="B141" t="s">
        <v>66</v>
      </c>
      <c r="C141">
        <v>1.61</v>
      </c>
      <c r="D141" t="s">
        <v>114</v>
      </c>
      <c r="E141" t="s">
        <v>115</v>
      </c>
      <c r="F141">
        <v>0</v>
      </c>
      <c r="G141">
        <v>0</v>
      </c>
      <c r="H141" s="25">
        <v>0.25</v>
      </c>
      <c r="I141" s="3">
        <v>0</v>
      </c>
      <c r="J141" s="3">
        <v>0</v>
      </c>
      <c r="K141" s="3">
        <v>0</v>
      </c>
      <c r="L141" s="3">
        <v>1</v>
      </c>
      <c r="M141" s="3">
        <v>0</v>
      </c>
      <c r="N141" s="3">
        <v>0</v>
      </c>
      <c r="O141" s="3">
        <v>0</v>
      </c>
      <c r="P141" s="3">
        <v>0</v>
      </c>
      <c r="Q141" s="3">
        <v>0</v>
      </c>
      <c r="R141" s="3">
        <v>0</v>
      </c>
      <c r="S141" s="3">
        <v>0</v>
      </c>
      <c r="T141" s="6">
        <f t="shared" si="2"/>
        <v>0</v>
      </c>
      <c r="U141" t="s">
        <v>135</v>
      </c>
      <c r="V141" s="6">
        <v>1</v>
      </c>
      <c r="W141" s="6">
        <v>0</v>
      </c>
      <c r="X141" s="6">
        <v>2</v>
      </c>
      <c r="Y141" s="3">
        <v>2</v>
      </c>
      <c r="Z141" s="6">
        <v>1</v>
      </c>
      <c r="AA141" s="3">
        <v>7</v>
      </c>
      <c r="AB141" s="3">
        <v>0</v>
      </c>
      <c r="AC141" s="3">
        <v>1</v>
      </c>
      <c r="AD141" s="22">
        <v>3</v>
      </c>
      <c r="AE141" s="3">
        <v>1</v>
      </c>
      <c r="AF141" s="3">
        <v>0</v>
      </c>
      <c r="AG141" s="6">
        <v>0</v>
      </c>
      <c r="AH141" s="3">
        <v>0</v>
      </c>
      <c r="AI141" s="3">
        <v>3</v>
      </c>
      <c r="AJ141" s="3">
        <v>2</v>
      </c>
      <c r="AK141" s="3">
        <v>0</v>
      </c>
      <c r="AL141" s="3">
        <v>1</v>
      </c>
    </row>
    <row r="142" spans="1:38" x14ac:dyDescent="0.35">
      <c r="A142">
        <v>141</v>
      </c>
      <c r="B142" t="s">
        <v>66</v>
      </c>
      <c r="C142">
        <v>1.61</v>
      </c>
      <c r="D142" t="s">
        <v>114</v>
      </c>
      <c r="E142" t="s">
        <v>115</v>
      </c>
      <c r="F142">
        <v>1</v>
      </c>
      <c r="G142">
        <v>0</v>
      </c>
      <c r="H142" s="25">
        <v>0.5</v>
      </c>
      <c r="I142" s="3">
        <v>1</v>
      </c>
      <c r="J142" s="3">
        <v>1</v>
      </c>
      <c r="K142" s="3">
        <v>0</v>
      </c>
      <c r="L142" s="3">
        <v>1</v>
      </c>
      <c r="M142" s="3">
        <v>1</v>
      </c>
      <c r="N142" s="3">
        <v>0</v>
      </c>
      <c r="O142" s="3">
        <v>1</v>
      </c>
      <c r="P142" s="3">
        <v>0</v>
      </c>
      <c r="Q142" s="3">
        <v>0</v>
      </c>
      <c r="R142" s="3">
        <v>0</v>
      </c>
      <c r="S142" s="3">
        <v>1</v>
      </c>
      <c r="T142" s="6">
        <f t="shared" si="2"/>
        <v>0</v>
      </c>
      <c r="U142" t="s">
        <v>12</v>
      </c>
      <c r="V142" s="6">
        <v>2</v>
      </c>
      <c r="W142" s="6">
        <v>0</v>
      </c>
      <c r="X142" s="6">
        <v>0</v>
      </c>
      <c r="Y142" s="3">
        <v>2</v>
      </c>
      <c r="Z142" s="6">
        <v>1</v>
      </c>
      <c r="AA142" s="3">
        <v>17</v>
      </c>
      <c r="AB142" s="3">
        <v>2</v>
      </c>
      <c r="AC142" s="3">
        <v>5</v>
      </c>
      <c r="AD142" s="22">
        <v>2</v>
      </c>
      <c r="AE142" s="3">
        <v>4</v>
      </c>
      <c r="AF142" s="3">
        <v>2</v>
      </c>
      <c r="AG142" s="6">
        <v>4</v>
      </c>
      <c r="AH142" s="3">
        <v>0</v>
      </c>
      <c r="AI142" s="3">
        <v>3</v>
      </c>
      <c r="AJ142" s="3">
        <v>2</v>
      </c>
      <c r="AK142" s="3">
        <v>0</v>
      </c>
      <c r="AL142" s="3">
        <v>3</v>
      </c>
    </row>
    <row r="143" spans="1:38" x14ac:dyDescent="0.35">
      <c r="A143">
        <v>142</v>
      </c>
      <c r="B143" t="s">
        <v>70</v>
      </c>
      <c r="C143">
        <v>-0.04</v>
      </c>
      <c r="D143" t="s">
        <v>125</v>
      </c>
      <c r="E143" t="s">
        <v>115</v>
      </c>
      <c r="F143">
        <v>1</v>
      </c>
      <c r="G143">
        <v>0</v>
      </c>
      <c r="H143" s="25">
        <v>0.25</v>
      </c>
      <c r="I143" s="3">
        <v>0</v>
      </c>
      <c r="J143" s="3">
        <v>0</v>
      </c>
      <c r="K143" s="3">
        <v>0</v>
      </c>
      <c r="L143" s="3">
        <v>0</v>
      </c>
      <c r="M143" s="3">
        <v>1</v>
      </c>
      <c r="N143" s="3">
        <v>0</v>
      </c>
      <c r="O143" s="3">
        <v>1</v>
      </c>
      <c r="P143" s="3">
        <v>1</v>
      </c>
      <c r="Q143" s="3">
        <v>1</v>
      </c>
      <c r="R143" s="3">
        <v>1</v>
      </c>
      <c r="S143" s="3">
        <v>0</v>
      </c>
      <c r="T143" s="6">
        <f t="shared" si="2"/>
        <v>0</v>
      </c>
      <c r="U143" t="s">
        <v>110</v>
      </c>
      <c r="V143" s="6">
        <v>0</v>
      </c>
      <c r="W143" s="6">
        <v>0</v>
      </c>
      <c r="X143" s="6">
        <v>1</v>
      </c>
      <c r="Y143" s="3">
        <v>1</v>
      </c>
      <c r="Z143" s="6">
        <v>2</v>
      </c>
      <c r="AA143" s="3">
        <v>103</v>
      </c>
      <c r="AB143" s="3">
        <v>0</v>
      </c>
      <c r="AC143" s="3">
        <v>3</v>
      </c>
      <c r="AD143" s="22">
        <v>1</v>
      </c>
      <c r="AE143" s="3">
        <v>2</v>
      </c>
      <c r="AF143" s="3">
        <v>2</v>
      </c>
      <c r="AG143" s="6">
        <v>1</v>
      </c>
      <c r="AH143" s="3">
        <v>1</v>
      </c>
      <c r="AI143" s="3">
        <v>1</v>
      </c>
      <c r="AJ143" s="3">
        <v>2</v>
      </c>
      <c r="AK143" s="3">
        <v>0</v>
      </c>
      <c r="AL143" s="3">
        <v>0</v>
      </c>
    </row>
    <row r="144" spans="1:38" x14ac:dyDescent="0.35">
      <c r="A144">
        <v>143</v>
      </c>
      <c r="B144" t="s">
        <v>70</v>
      </c>
      <c r="C144">
        <v>-0.04</v>
      </c>
      <c r="D144" t="s">
        <v>125</v>
      </c>
      <c r="E144" t="s">
        <v>115</v>
      </c>
      <c r="F144">
        <v>1</v>
      </c>
      <c r="G144">
        <v>0</v>
      </c>
      <c r="H144" s="25">
        <v>0</v>
      </c>
      <c r="I144" s="3">
        <v>1</v>
      </c>
      <c r="J144" s="3">
        <v>0</v>
      </c>
      <c r="K144" s="3">
        <v>0</v>
      </c>
      <c r="L144" s="3">
        <v>0</v>
      </c>
      <c r="M144" s="3">
        <v>1</v>
      </c>
      <c r="N144" s="3">
        <v>0</v>
      </c>
      <c r="O144" s="3">
        <v>1</v>
      </c>
      <c r="P144" s="3">
        <v>0</v>
      </c>
      <c r="Q144" s="3">
        <v>1</v>
      </c>
      <c r="R144" s="3">
        <v>1</v>
      </c>
      <c r="S144" s="3">
        <v>0</v>
      </c>
      <c r="T144" s="6">
        <f t="shared" si="2"/>
        <v>0</v>
      </c>
      <c r="U144" t="s">
        <v>14</v>
      </c>
      <c r="V144" s="6">
        <v>1</v>
      </c>
      <c r="W144" s="6">
        <v>1</v>
      </c>
      <c r="X144" s="6">
        <v>1</v>
      </c>
      <c r="Y144" s="3">
        <v>1</v>
      </c>
      <c r="Z144" s="6">
        <v>1</v>
      </c>
      <c r="AA144" s="3">
        <v>103</v>
      </c>
      <c r="AB144" s="3">
        <v>0</v>
      </c>
      <c r="AC144" s="3">
        <v>4</v>
      </c>
      <c r="AD144" s="22">
        <v>2</v>
      </c>
      <c r="AE144" s="3">
        <v>1</v>
      </c>
      <c r="AF144" s="3">
        <v>3</v>
      </c>
      <c r="AG144" s="6">
        <v>2</v>
      </c>
      <c r="AH144" s="3">
        <v>0</v>
      </c>
      <c r="AI144" s="3">
        <v>2</v>
      </c>
      <c r="AJ144" s="3">
        <v>2</v>
      </c>
      <c r="AK144" s="3">
        <v>1</v>
      </c>
      <c r="AL144" s="3">
        <v>1</v>
      </c>
    </row>
    <row r="145" spans="1:38" x14ac:dyDescent="0.35">
      <c r="A145">
        <v>144</v>
      </c>
      <c r="B145" t="s">
        <v>127</v>
      </c>
      <c r="C145">
        <v>1.81</v>
      </c>
      <c r="D145" t="s">
        <v>124</v>
      </c>
      <c r="E145" t="s">
        <v>115</v>
      </c>
      <c r="F145">
        <v>1</v>
      </c>
      <c r="G145">
        <v>0</v>
      </c>
      <c r="H145" s="25">
        <v>0.25</v>
      </c>
      <c r="I145" s="3">
        <v>0</v>
      </c>
      <c r="J145" s="3">
        <v>0</v>
      </c>
      <c r="K145" s="3">
        <v>0</v>
      </c>
      <c r="L145" s="3">
        <v>0</v>
      </c>
      <c r="M145" s="3">
        <v>1</v>
      </c>
      <c r="N145" s="3">
        <v>0</v>
      </c>
      <c r="O145" s="3">
        <v>1</v>
      </c>
      <c r="P145" s="3">
        <v>0</v>
      </c>
      <c r="Q145" s="3">
        <v>0</v>
      </c>
      <c r="R145" s="3">
        <v>0</v>
      </c>
      <c r="S145" s="3">
        <v>1</v>
      </c>
      <c r="T145" s="6">
        <f t="shared" si="2"/>
        <v>0</v>
      </c>
      <c r="U145" t="s">
        <v>106</v>
      </c>
      <c r="V145" s="6">
        <v>1</v>
      </c>
      <c r="W145" s="6">
        <v>3</v>
      </c>
      <c r="X145" s="6">
        <v>3</v>
      </c>
      <c r="Y145" s="3">
        <v>1</v>
      </c>
      <c r="AA145" s="3">
        <v>56</v>
      </c>
      <c r="AB145" s="3">
        <v>0</v>
      </c>
      <c r="AC145" s="3">
        <v>5</v>
      </c>
      <c r="AD145" s="22">
        <v>1</v>
      </c>
      <c r="AE145" s="3">
        <v>4</v>
      </c>
      <c r="AF145" s="3">
        <v>3</v>
      </c>
      <c r="AG145" s="6">
        <v>2</v>
      </c>
      <c r="AH145" s="3">
        <v>0</v>
      </c>
      <c r="AI145" s="3">
        <v>2</v>
      </c>
      <c r="AJ145" s="3">
        <v>1</v>
      </c>
      <c r="AK145" s="3"/>
      <c r="AL145" s="3"/>
    </row>
    <row r="146" spans="1:38" s="14" customFormat="1" x14ac:dyDescent="0.35">
      <c r="A146" s="14">
        <v>145</v>
      </c>
      <c r="B146" s="14" t="s">
        <v>66</v>
      </c>
      <c r="C146" s="14">
        <v>1.61</v>
      </c>
      <c r="D146" s="14" t="s">
        <v>150</v>
      </c>
      <c r="E146" s="14" t="s">
        <v>121</v>
      </c>
      <c r="F146" s="14">
        <v>1</v>
      </c>
      <c r="G146" s="14">
        <v>0</v>
      </c>
      <c r="H146" s="17">
        <v>0.75</v>
      </c>
      <c r="I146" s="6">
        <v>0</v>
      </c>
      <c r="J146" s="6">
        <v>0</v>
      </c>
      <c r="K146" s="6">
        <v>1</v>
      </c>
      <c r="L146" s="6">
        <v>0</v>
      </c>
      <c r="M146" s="6">
        <v>1</v>
      </c>
      <c r="N146" s="6">
        <v>0</v>
      </c>
      <c r="O146" s="6">
        <v>1</v>
      </c>
      <c r="P146" s="6">
        <v>0</v>
      </c>
      <c r="Q146" s="6">
        <v>1</v>
      </c>
      <c r="R146" s="6">
        <v>1</v>
      </c>
      <c r="S146" s="6">
        <v>1</v>
      </c>
      <c r="T146" s="6">
        <f t="shared" si="2"/>
        <v>0</v>
      </c>
      <c r="U146" s="14" t="s">
        <v>102</v>
      </c>
      <c r="V146" s="6">
        <v>2</v>
      </c>
      <c r="W146" s="6">
        <v>1</v>
      </c>
      <c r="X146" s="6">
        <v>1</v>
      </c>
      <c r="Y146" s="6">
        <v>7</v>
      </c>
      <c r="Z146" s="6">
        <v>3</v>
      </c>
      <c r="AA146" s="6">
        <v>7</v>
      </c>
      <c r="AB146" s="6">
        <v>0</v>
      </c>
      <c r="AC146" s="6">
        <v>2</v>
      </c>
      <c r="AD146" s="22">
        <v>4</v>
      </c>
      <c r="AE146" s="6">
        <v>3</v>
      </c>
      <c r="AF146" s="6">
        <v>2</v>
      </c>
      <c r="AG146" s="6">
        <v>2</v>
      </c>
      <c r="AH146" s="6">
        <v>3</v>
      </c>
      <c r="AI146" s="6">
        <v>3</v>
      </c>
      <c r="AJ146" s="6">
        <v>2</v>
      </c>
      <c r="AK146" s="6">
        <v>1</v>
      </c>
      <c r="AL146" s="6">
        <v>2</v>
      </c>
    </row>
    <row r="147" spans="1:38" x14ac:dyDescent="0.35">
      <c r="A147">
        <v>146</v>
      </c>
      <c r="B147" t="s">
        <v>66</v>
      </c>
      <c r="C147">
        <v>1.61</v>
      </c>
      <c r="D147" t="s">
        <v>114</v>
      </c>
      <c r="E147" t="s">
        <v>115</v>
      </c>
      <c r="F147">
        <v>0</v>
      </c>
      <c r="G147">
        <v>0</v>
      </c>
      <c r="H147" s="25">
        <v>0</v>
      </c>
      <c r="I147" s="3">
        <v>0</v>
      </c>
      <c r="J147" s="3">
        <v>0</v>
      </c>
      <c r="K147" s="3">
        <v>0</v>
      </c>
      <c r="L147" s="3">
        <v>0</v>
      </c>
      <c r="M147" s="3">
        <v>0</v>
      </c>
      <c r="N147" s="3">
        <v>0</v>
      </c>
      <c r="O147" s="3">
        <v>0</v>
      </c>
      <c r="P147" s="3">
        <v>0</v>
      </c>
      <c r="Q147" s="3">
        <v>0</v>
      </c>
      <c r="R147" s="3">
        <v>1</v>
      </c>
      <c r="S147" s="3">
        <v>0</v>
      </c>
      <c r="T147" s="6">
        <f t="shared" si="2"/>
        <v>0</v>
      </c>
      <c r="U147" t="s">
        <v>14</v>
      </c>
      <c r="V147" s="6">
        <v>0</v>
      </c>
      <c r="W147" s="6">
        <v>0</v>
      </c>
      <c r="X147" s="6">
        <v>0</v>
      </c>
      <c r="Y147" s="3">
        <v>1</v>
      </c>
      <c r="AA147" s="3">
        <v>66</v>
      </c>
      <c r="AB147" s="3">
        <v>3</v>
      </c>
      <c r="AC147" s="3">
        <v>1</v>
      </c>
      <c r="AD147" s="22">
        <v>3</v>
      </c>
      <c r="AE147" s="3">
        <v>3</v>
      </c>
      <c r="AF147" s="3">
        <v>1</v>
      </c>
      <c r="AG147" s="6">
        <v>0</v>
      </c>
      <c r="AH147" s="3">
        <v>0</v>
      </c>
      <c r="AI147" s="3">
        <v>1</v>
      </c>
      <c r="AJ147" s="3">
        <v>2</v>
      </c>
      <c r="AK147" s="3"/>
      <c r="AL147" s="3"/>
    </row>
    <row r="148" spans="1:38" x14ac:dyDescent="0.35">
      <c r="A148">
        <v>147</v>
      </c>
      <c r="B148" t="s">
        <v>70</v>
      </c>
      <c r="C148">
        <v>-0.04</v>
      </c>
      <c r="D148" t="s">
        <v>125</v>
      </c>
      <c r="E148" t="s">
        <v>121</v>
      </c>
      <c r="F148">
        <v>1</v>
      </c>
      <c r="G148">
        <v>0</v>
      </c>
      <c r="H148" s="25">
        <v>0.25</v>
      </c>
      <c r="I148" s="3">
        <v>0</v>
      </c>
      <c r="J148" s="3">
        <v>1</v>
      </c>
      <c r="K148" s="3">
        <v>0</v>
      </c>
      <c r="L148" s="3">
        <v>0</v>
      </c>
      <c r="M148" s="3">
        <v>1</v>
      </c>
      <c r="N148" s="3">
        <v>0</v>
      </c>
      <c r="O148" s="3">
        <v>1</v>
      </c>
      <c r="P148" s="3">
        <v>1</v>
      </c>
      <c r="Q148" s="3">
        <v>1</v>
      </c>
      <c r="R148" s="3">
        <v>1</v>
      </c>
      <c r="S148" s="3">
        <v>0</v>
      </c>
      <c r="T148" s="6">
        <f t="shared" si="2"/>
        <v>0</v>
      </c>
      <c r="U148" t="s">
        <v>133</v>
      </c>
      <c r="V148" s="6">
        <v>0</v>
      </c>
      <c r="W148" s="6">
        <v>1</v>
      </c>
      <c r="X148" s="6">
        <v>1</v>
      </c>
      <c r="Y148" s="3">
        <v>1</v>
      </c>
      <c r="Z148" s="6">
        <v>1</v>
      </c>
      <c r="AA148" s="3">
        <v>13</v>
      </c>
      <c r="AB148" s="3">
        <v>0</v>
      </c>
      <c r="AC148" s="3">
        <v>2</v>
      </c>
      <c r="AD148" s="22">
        <v>3</v>
      </c>
      <c r="AE148" s="3">
        <v>1</v>
      </c>
      <c r="AF148" s="3">
        <v>1</v>
      </c>
      <c r="AG148" s="6">
        <v>1</v>
      </c>
      <c r="AH148" s="3">
        <v>0</v>
      </c>
      <c r="AI148" s="3">
        <v>1</v>
      </c>
      <c r="AJ148" s="3">
        <v>1</v>
      </c>
      <c r="AK148" s="3">
        <v>1</v>
      </c>
      <c r="AL148" s="3">
        <v>2</v>
      </c>
    </row>
    <row r="149" spans="1:38" x14ac:dyDescent="0.35">
      <c r="A149">
        <v>148</v>
      </c>
      <c r="B149" t="s">
        <v>127</v>
      </c>
      <c r="C149">
        <v>1.81</v>
      </c>
      <c r="D149" t="s">
        <v>124</v>
      </c>
      <c r="E149" t="s">
        <v>115</v>
      </c>
      <c r="F149">
        <v>1</v>
      </c>
      <c r="G149">
        <v>0</v>
      </c>
      <c r="H149" s="25">
        <v>0.25</v>
      </c>
      <c r="I149" s="3">
        <v>0</v>
      </c>
      <c r="J149" s="3">
        <v>0</v>
      </c>
      <c r="K149" s="3">
        <v>0</v>
      </c>
      <c r="L149" s="3">
        <v>0</v>
      </c>
      <c r="M149" s="3">
        <v>0</v>
      </c>
      <c r="N149" s="3">
        <v>0</v>
      </c>
      <c r="O149" s="3">
        <v>1</v>
      </c>
      <c r="P149" s="3">
        <v>0</v>
      </c>
      <c r="Q149" s="3">
        <v>0</v>
      </c>
      <c r="R149" s="3">
        <v>0</v>
      </c>
      <c r="S149" s="3">
        <v>1</v>
      </c>
      <c r="T149" s="6">
        <f t="shared" si="2"/>
        <v>0</v>
      </c>
      <c r="U149" t="s">
        <v>106</v>
      </c>
      <c r="V149" s="6">
        <v>0</v>
      </c>
      <c r="W149" s="6">
        <v>0</v>
      </c>
      <c r="X149" s="6">
        <v>0</v>
      </c>
      <c r="Y149" s="3">
        <v>1</v>
      </c>
      <c r="Z149" s="6">
        <v>1</v>
      </c>
      <c r="AA149" s="3">
        <v>89</v>
      </c>
      <c r="AB149" s="3">
        <v>0</v>
      </c>
      <c r="AC149" s="3">
        <v>3</v>
      </c>
      <c r="AD149" s="22">
        <v>1</v>
      </c>
      <c r="AE149" s="3">
        <v>4</v>
      </c>
      <c r="AF149" s="3">
        <v>0</v>
      </c>
      <c r="AG149" s="6">
        <v>0</v>
      </c>
      <c r="AH149" s="3">
        <v>0</v>
      </c>
      <c r="AI149" s="3">
        <v>1</v>
      </c>
      <c r="AJ149" s="3">
        <v>1</v>
      </c>
      <c r="AK149" s="3">
        <v>1</v>
      </c>
      <c r="AL149" s="3">
        <v>3</v>
      </c>
    </row>
    <row r="150" spans="1:38" x14ac:dyDescent="0.35">
      <c r="A150">
        <v>149</v>
      </c>
      <c r="B150" t="s">
        <v>70</v>
      </c>
      <c r="C150">
        <v>-0.04</v>
      </c>
      <c r="D150" t="s">
        <v>125</v>
      </c>
      <c r="E150" t="s">
        <v>121</v>
      </c>
      <c r="F150">
        <v>1</v>
      </c>
      <c r="G150">
        <v>0</v>
      </c>
      <c r="H150" s="25">
        <v>0.25</v>
      </c>
      <c r="I150" s="3">
        <v>0</v>
      </c>
      <c r="J150" s="3">
        <v>0</v>
      </c>
      <c r="K150" s="3">
        <v>0</v>
      </c>
      <c r="L150" s="3">
        <v>0</v>
      </c>
      <c r="M150" s="3">
        <v>1</v>
      </c>
      <c r="N150" s="3">
        <v>0</v>
      </c>
      <c r="O150" s="3">
        <v>1</v>
      </c>
      <c r="P150" s="3">
        <v>0</v>
      </c>
      <c r="Q150" s="3">
        <v>0</v>
      </c>
      <c r="R150" s="3">
        <v>1</v>
      </c>
      <c r="S150" s="3">
        <v>0</v>
      </c>
      <c r="T150" s="6">
        <f t="shared" si="2"/>
        <v>0</v>
      </c>
      <c r="U150" t="s">
        <v>12</v>
      </c>
      <c r="V150" s="6">
        <v>0</v>
      </c>
      <c r="W150" s="6">
        <v>2</v>
      </c>
      <c r="X150" s="6">
        <v>2</v>
      </c>
      <c r="Y150" s="3">
        <v>3</v>
      </c>
      <c r="Z150" s="6">
        <v>2</v>
      </c>
      <c r="AA150" s="3">
        <v>60</v>
      </c>
      <c r="AB150" s="3">
        <v>2</v>
      </c>
      <c r="AC150" s="3">
        <v>5</v>
      </c>
      <c r="AD150" s="22">
        <v>3</v>
      </c>
      <c r="AE150" s="3">
        <v>3</v>
      </c>
      <c r="AF150" s="3">
        <v>1</v>
      </c>
      <c r="AG150" s="6">
        <v>0</v>
      </c>
      <c r="AH150" s="3">
        <v>0</v>
      </c>
      <c r="AI150" s="3">
        <v>2</v>
      </c>
      <c r="AJ150" s="3">
        <v>2</v>
      </c>
      <c r="AK150" s="3">
        <v>0</v>
      </c>
      <c r="AL150" s="3">
        <v>1</v>
      </c>
    </row>
    <row r="151" spans="1:38" x14ac:dyDescent="0.35">
      <c r="A151">
        <v>150</v>
      </c>
      <c r="B151" t="s">
        <v>127</v>
      </c>
      <c r="C151">
        <v>1.81</v>
      </c>
      <c r="D151" t="s">
        <v>124</v>
      </c>
      <c r="E151" t="s">
        <v>115</v>
      </c>
      <c r="F151">
        <v>0</v>
      </c>
      <c r="G151">
        <v>0</v>
      </c>
      <c r="H151" s="25">
        <v>0.25</v>
      </c>
      <c r="I151" s="3">
        <v>0</v>
      </c>
      <c r="J151" s="3">
        <v>0</v>
      </c>
      <c r="K151" s="3">
        <v>0</v>
      </c>
      <c r="L151" s="3">
        <v>0</v>
      </c>
      <c r="M151" s="3">
        <v>1</v>
      </c>
      <c r="N151" s="3">
        <v>0</v>
      </c>
      <c r="O151" s="3">
        <v>1</v>
      </c>
      <c r="P151" s="3">
        <v>0</v>
      </c>
      <c r="Q151" s="3">
        <v>1</v>
      </c>
      <c r="R151" s="3">
        <v>1</v>
      </c>
      <c r="S151" s="3">
        <v>0</v>
      </c>
      <c r="T151" s="6">
        <f t="shared" si="2"/>
        <v>0</v>
      </c>
      <c r="U151" t="s">
        <v>12</v>
      </c>
      <c r="V151" s="6">
        <v>0</v>
      </c>
      <c r="W151" s="6">
        <v>2</v>
      </c>
      <c r="X151" s="6">
        <v>2</v>
      </c>
      <c r="Y151" s="3">
        <v>4</v>
      </c>
      <c r="Z151" s="6">
        <v>1</v>
      </c>
      <c r="AA151" s="3">
        <v>47</v>
      </c>
      <c r="AB151" s="3">
        <v>0</v>
      </c>
      <c r="AC151" s="3">
        <v>2</v>
      </c>
      <c r="AD151" s="22">
        <v>1</v>
      </c>
      <c r="AE151" s="3">
        <v>4</v>
      </c>
      <c r="AF151" s="3">
        <v>2</v>
      </c>
      <c r="AG151" s="6">
        <v>3</v>
      </c>
      <c r="AH151" s="3">
        <v>2</v>
      </c>
      <c r="AI151" s="3">
        <v>2</v>
      </c>
      <c r="AJ151" s="3">
        <v>1</v>
      </c>
      <c r="AK151" s="3">
        <v>1</v>
      </c>
      <c r="AL151" s="3">
        <v>2</v>
      </c>
    </row>
    <row r="152" spans="1:38" x14ac:dyDescent="0.35">
      <c r="A152">
        <v>151</v>
      </c>
      <c r="B152" t="s">
        <v>70</v>
      </c>
      <c r="C152">
        <v>-0.04</v>
      </c>
      <c r="D152" t="s">
        <v>125</v>
      </c>
      <c r="E152" t="s">
        <v>117</v>
      </c>
      <c r="F152">
        <v>1</v>
      </c>
      <c r="G152">
        <v>0</v>
      </c>
      <c r="H152" s="25">
        <v>0.25</v>
      </c>
      <c r="I152" s="3">
        <v>0</v>
      </c>
      <c r="J152" s="3">
        <v>1</v>
      </c>
      <c r="K152" s="3">
        <v>0</v>
      </c>
      <c r="L152" s="3">
        <v>0</v>
      </c>
      <c r="M152" s="3">
        <v>1</v>
      </c>
      <c r="N152" s="3">
        <v>0</v>
      </c>
      <c r="O152" s="3">
        <v>0</v>
      </c>
      <c r="P152" s="3">
        <v>1</v>
      </c>
      <c r="Q152" s="3">
        <v>0</v>
      </c>
      <c r="R152" s="3">
        <v>1</v>
      </c>
      <c r="S152" s="3">
        <v>0</v>
      </c>
      <c r="T152" s="6">
        <f t="shared" si="2"/>
        <v>0</v>
      </c>
      <c r="U152" t="s">
        <v>12</v>
      </c>
      <c r="V152" s="6">
        <v>0</v>
      </c>
      <c r="W152" s="6">
        <v>2</v>
      </c>
      <c r="X152" s="6">
        <v>2</v>
      </c>
      <c r="Y152" s="3">
        <v>1</v>
      </c>
      <c r="Z152" s="6">
        <v>1</v>
      </c>
      <c r="AA152" s="3">
        <v>138</v>
      </c>
      <c r="AB152" s="3">
        <v>0</v>
      </c>
      <c r="AC152" s="3">
        <v>3</v>
      </c>
      <c r="AD152" s="22">
        <v>1</v>
      </c>
      <c r="AE152" s="3">
        <v>1</v>
      </c>
      <c r="AF152" s="3">
        <v>2</v>
      </c>
      <c r="AG152" s="6">
        <v>0</v>
      </c>
      <c r="AH152" s="3">
        <v>1</v>
      </c>
      <c r="AI152" s="3">
        <v>2</v>
      </c>
      <c r="AJ152" s="3">
        <v>2</v>
      </c>
      <c r="AK152" s="3">
        <v>3</v>
      </c>
      <c r="AL152" s="3">
        <v>3</v>
      </c>
    </row>
    <row r="153" spans="1:38" x14ac:dyDescent="0.35">
      <c r="A153">
        <v>152</v>
      </c>
      <c r="B153" t="s">
        <v>70</v>
      </c>
      <c r="C153">
        <v>-0.04</v>
      </c>
      <c r="D153" t="s">
        <v>114</v>
      </c>
      <c r="E153" t="s">
        <v>121</v>
      </c>
      <c r="F153">
        <v>0</v>
      </c>
      <c r="G153">
        <v>0</v>
      </c>
      <c r="H153" s="25">
        <v>0.25</v>
      </c>
      <c r="I153" s="3">
        <v>0</v>
      </c>
      <c r="J153" s="3">
        <v>0</v>
      </c>
      <c r="K153" s="3">
        <v>0</v>
      </c>
      <c r="L153" s="3">
        <v>0</v>
      </c>
      <c r="M153" s="3">
        <v>0</v>
      </c>
      <c r="N153" s="3">
        <v>0</v>
      </c>
      <c r="O153" s="3">
        <v>0</v>
      </c>
      <c r="P153" s="3">
        <v>0</v>
      </c>
      <c r="Q153" s="3">
        <v>0</v>
      </c>
      <c r="R153" s="3">
        <v>0</v>
      </c>
      <c r="S153" s="3">
        <v>0</v>
      </c>
      <c r="T153" s="6">
        <f t="shared" si="2"/>
        <v>1</v>
      </c>
      <c r="U153" t="s">
        <v>42</v>
      </c>
      <c r="V153" s="6">
        <v>0</v>
      </c>
      <c r="W153" s="6">
        <v>0</v>
      </c>
      <c r="X153" s="6">
        <v>0</v>
      </c>
      <c r="Y153" s="3">
        <v>2</v>
      </c>
      <c r="Z153" s="6">
        <v>4</v>
      </c>
      <c r="AA153" s="3">
        <v>60</v>
      </c>
      <c r="AB153" s="3">
        <v>2</v>
      </c>
      <c r="AC153" s="3">
        <v>4</v>
      </c>
      <c r="AD153" s="22">
        <v>3</v>
      </c>
      <c r="AE153" s="3">
        <v>3</v>
      </c>
      <c r="AF153" s="3">
        <v>1</v>
      </c>
      <c r="AG153" s="6">
        <v>0</v>
      </c>
      <c r="AH153" s="3">
        <v>0</v>
      </c>
      <c r="AI153" s="3">
        <v>1</v>
      </c>
      <c r="AJ153" s="3">
        <v>1</v>
      </c>
      <c r="AK153" s="3">
        <v>1</v>
      </c>
      <c r="AL153" s="3">
        <v>2</v>
      </c>
    </row>
    <row r="154" spans="1:38" x14ac:dyDescent="0.35">
      <c r="A154">
        <v>153</v>
      </c>
      <c r="B154" t="s">
        <v>161</v>
      </c>
      <c r="C154">
        <v>1.47</v>
      </c>
      <c r="D154" t="s">
        <v>151</v>
      </c>
      <c r="E154" t="s">
        <v>115</v>
      </c>
      <c r="F154">
        <v>0</v>
      </c>
      <c r="G154">
        <v>0</v>
      </c>
      <c r="H154" s="25">
        <v>0.25</v>
      </c>
      <c r="I154" s="3">
        <v>0</v>
      </c>
      <c r="J154" s="3">
        <v>0</v>
      </c>
      <c r="K154" s="3">
        <v>0</v>
      </c>
      <c r="L154" s="3">
        <v>0</v>
      </c>
      <c r="M154" s="3">
        <v>0</v>
      </c>
      <c r="N154" s="3">
        <v>0</v>
      </c>
      <c r="O154" s="3">
        <v>0</v>
      </c>
      <c r="P154" s="3">
        <v>0</v>
      </c>
      <c r="Q154" s="3">
        <v>0</v>
      </c>
      <c r="R154" s="3">
        <v>0</v>
      </c>
      <c r="S154" s="3">
        <v>0</v>
      </c>
      <c r="T154" s="6">
        <f t="shared" si="2"/>
        <v>1</v>
      </c>
      <c r="U154" t="s">
        <v>42</v>
      </c>
      <c r="V154" s="6">
        <v>0</v>
      </c>
      <c r="W154" s="6">
        <v>0</v>
      </c>
      <c r="X154" s="6">
        <v>0</v>
      </c>
      <c r="Y154" s="3">
        <v>9</v>
      </c>
      <c r="Z154" s="6">
        <v>1</v>
      </c>
      <c r="AA154" s="3">
        <v>10</v>
      </c>
      <c r="AB154" s="3">
        <v>2</v>
      </c>
      <c r="AC154" s="3">
        <v>3</v>
      </c>
      <c r="AD154" s="22">
        <v>4</v>
      </c>
      <c r="AE154" s="3">
        <v>4</v>
      </c>
      <c r="AF154" s="3">
        <v>3</v>
      </c>
      <c r="AG154" s="6">
        <v>0</v>
      </c>
      <c r="AH154" s="3">
        <v>0</v>
      </c>
      <c r="AI154" s="3">
        <v>1</v>
      </c>
      <c r="AJ154" s="3">
        <v>2</v>
      </c>
      <c r="AK154" s="3">
        <v>1</v>
      </c>
      <c r="AL154" s="3">
        <v>1</v>
      </c>
    </row>
    <row r="155" spans="1:38" s="14" customFormat="1" x14ac:dyDescent="0.35">
      <c r="A155" s="14">
        <v>154</v>
      </c>
      <c r="B155" s="14" t="s">
        <v>64</v>
      </c>
      <c r="C155" s="14">
        <v>1.42</v>
      </c>
      <c r="D155" s="14" t="s">
        <v>150</v>
      </c>
      <c r="E155" s="14" t="s">
        <v>117</v>
      </c>
      <c r="F155" s="14">
        <v>0</v>
      </c>
      <c r="G155" s="14">
        <v>0</v>
      </c>
      <c r="H155" s="17">
        <v>0</v>
      </c>
      <c r="I155" s="6">
        <v>0</v>
      </c>
      <c r="J155" s="6">
        <v>0</v>
      </c>
      <c r="K155" s="6">
        <v>0</v>
      </c>
      <c r="L155" s="6">
        <v>0</v>
      </c>
      <c r="M155" s="6">
        <v>0</v>
      </c>
      <c r="N155" s="6">
        <v>0</v>
      </c>
      <c r="O155" s="6">
        <v>1</v>
      </c>
      <c r="P155" s="6">
        <v>0</v>
      </c>
      <c r="Q155" s="6">
        <v>0</v>
      </c>
      <c r="R155" s="6">
        <v>0</v>
      </c>
      <c r="S155" s="6">
        <v>1</v>
      </c>
      <c r="T155" s="6">
        <f t="shared" si="2"/>
        <v>0</v>
      </c>
      <c r="U155" s="14" t="s">
        <v>102</v>
      </c>
      <c r="V155" s="6">
        <v>0</v>
      </c>
      <c r="W155" s="6">
        <v>0</v>
      </c>
      <c r="X155" s="6">
        <v>0</v>
      </c>
      <c r="Y155" s="6">
        <v>1</v>
      </c>
      <c r="Z155" s="6">
        <v>1</v>
      </c>
      <c r="AA155" s="6">
        <v>4</v>
      </c>
      <c r="AB155" s="6">
        <v>0</v>
      </c>
      <c r="AC155" s="6">
        <v>2</v>
      </c>
      <c r="AD155" s="22">
        <v>3</v>
      </c>
      <c r="AE155" s="6">
        <v>4</v>
      </c>
      <c r="AF155" s="6">
        <v>3</v>
      </c>
      <c r="AG155" s="6">
        <v>0</v>
      </c>
      <c r="AH155" s="6">
        <v>0</v>
      </c>
      <c r="AI155" s="6">
        <v>1</v>
      </c>
      <c r="AJ155" s="6">
        <v>1</v>
      </c>
      <c r="AK155" s="6">
        <v>0</v>
      </c>
      <c r="AL155" s="6">
        <v>0</v>
      </c>
    </row>
    <row r="156" spans="1:38" x14ac:dyDescent="0.35">
      <c r="A156">
        <v>155</v>
      </c>
      <c r="B156" t="s">
        <v>70</v>
      </c>
      <c r="C156">
        <v>-0.04</v>
      </c>
      <c r="D156" t="s">
        <v>125</v>
      </c>
      <c r="E156" t="s">
        <v>121</v>
      </c>
      <c r="F156">
        <v>1</v>
      </c>
      <c r="G156">
        <v>0</v>
      </c>
      <c r="H156" s="25">
        <v>0</v>
      </c>
      <c r="I156" s="3">
        <v>0</v>
      </c>
      <c r="J156" s="3">
        <v>0</v>
      </c>
      <c r="K156" s="3">
        <v>0</v>
      </c>
      <c r="L156" s="3">
        <v>0</v>
      </c>
      <c r="M156" s="3">
        <v>1</v>
      </c>
      <c r="N156" s="3">
        <v>0</v>
      </c>
      <c r="O156" s="3">
        <v>1</v>
      </c>
      <c r="P156" s="3">
        <v>0</v>
      </c>
      <c r="Q156" s="3">
        <v>1</v>
      </c>
      <c r="R156" s="3">
        <v>1</v>
      </c>
      <c r="S156" s="3">
        <v>0</v>
      </c>
      <c r="T156" s="6">
        <f t="shared" si="2"/>
        <v>0</v>
      </c>
      <c r="U156" t="s">
        <v>14</v>
      </c>
      <c r="V156" s="6">
        <v>0</v>
      </c>
      <c r="W156" s="6">
        <v>1</v>
      </c>
      <c r="X156" s="6">
        <v>1</v>
      </c>
      <c r="Y156" s="3">
        <v>4</v>
      </c>
      <c r="AA156" s="3">
        <v>93</v>
      </c>
      <c r="AB156" s="3">
        <v>0</v>
      </c>
      <c r="AC156" s="3">
        <v>2</v>
      </c>
      <c r="AD156" s="22">
        <v>1</v>
      </c>
      <c r="AE156" s="3">
        <v>2</v>
      </c>
      <c r="AF156" s="3">
        <v>1</v>
      </c>
      <c r="AG156" s="6">
        <v>0</v>
      </c>
      <c r="AH156" s="3">
        <v>0</v>
      </c>
      <c r="AI156" s="3">
        <v>1</v>
      </c>
      <c r="AJ156" s="3">
        <v>0</v>
      </c>
      <c r="AK156" s="3">
        <v>0</v>
      </c>
      <c r="AL156" s="3">
        <v>1</v>
      </c>
    </row>
    <row r="157" spans="1:38" s="14" customFormat="1" x14ac:dyDescent="0.35">
      <c r="A157" s="14">
        <v>156</v>
      </c>
      <c r="B157" s="14" t="s">
        <v>70</v>
      </c>
      <c r="C157" s="14">
        <v>-0.04</v>
      </c>
      <c r="D157" s="14" t="s">
        <v>150</v>
      </c>
      <c r="E157" s="14" t="s">
        <v>115</v>
      </c>
      <c r="F157" s="14">
        <v>1</v>
      </c>
      <c r="G157" s="14">
        <v>0</v>
      </c>
      <c r="H157" s="17">
        <v>0</v>
      </c>
      <c r="I157" s="6">
        <v>0</v>
      </c>
      <c r="J157" s="6">
        <v>0</v>
      </c>
      <c r="K157" s="6">
        <v>0</v>
      </c>
      <c r="L157" s="6">
        <v>0</v>
      </c>
      <c r="M157" s="6">
        <v>1</v>
      </c>
      <c r="N157" s="6">
        <v>0</v>
      </c>
      <c r="O157" s="6">
        <v>1</v>
      </c>
      <c r="P157" s="6">
        <v>0</v>
      </c>
      <c r="Q157" s="6">
        <v>1</v>
      </c>
      <c r="R157" s="6">
        <v>0</v>
      </c>
      <c r="S157" s="6">
        <v>1</v>
      </c>
      <c r="T157" s="6">
        <f t="shared" si="2"/>
        <v>0</v>
      </c>
      <c r="U157" s="14" t="s">
        <v>102</v>
      </c>
      <c r="V157" s="6">
        <v>0</v>
      </c>
      <c r="W157" s="6">
        <v>3</v>
      </c>
      <c r="X157" s="6">
        <v>3</v>
      </c>
      <c r="Y157" s="6">
        <v>2</v>
      </c>
      <c r="Z157" s="6">
        <v>3</v>
      </c>
      <c r="AA157" s="6">
        <v>40</v>
      </c>
      <c r="AB157" s="6">
        <v>2</v>
      </c>
      <c r="AC157" s="6">
        <v>5</v>
      </c>
      <c r="AD157" s="22">
        <v>3</v>
      </c>
      <c r="AE157" s="6">
        <v>2</v>
      </c>
      <c r="AF157" s="6">
        <v>3</v>
      </c>
      <c r="AG157" s="6">
        <v>1</v>
      </c>
      <c r="AH157" s="6">
        <v>0</v>
      </c>
      <c r="AI157" s="6">
        <v>2</v>
      </c>
      <c r="AJ157" s="6">
        <v>2</v>
      </c>
      <c r="AK157" s="6">
        <v>1</v>
      </c>
      <c r="AL157" s="6">
        <v>3</v>
      </c>
    </row>
    <row r="158" spans="1:38" x14ac:dyDescent="0.35">
      <c r="A158">
        <v>157</v>
      </c>
      <c r="B158" t="s">
        <v>70</v>
      </c>
      <c r="C158">
        <v>-0.04</v>
      </c>
      <c r="D158" t="s">
        <v>150</v>
      </c>
      <c r="E158" t="s">
        <v>117</v>
      </c>
      <c r="F158">
        <v>0</v>
      </c>
      <c r="G158">
        <v>0</v>
      </c>
      <c r="H158" s="25">
        <v>0.25</v>
      </c>
      <c r="I158" s="3">
        <v>0</v>
      </c>
      <c r="J158" s="3">
        <v>0</v>
      </c>
      <c r="K158" s="3">
        <v>0</v>
      </c>
      <c r="L158" s="3">
        <v>0</v>
      </c>
      <c r="M158" s="3">
        <v>0</v>
      </c>
      <c r="N158" s="3">
        <v>0</v>
      </c>
      <c r="O158" s="3">
        <v>1</v>
      </c>
      <c r="P158" s="3">
        <v>0</v>
      </c>
      <c r="Q158" s="3">
        <v>0</v>
      </c>
      <c r="R158" s="3">
        <v>1</v>
      </c>
      <c r="S158" s="3">
        <v>0</v>
      </c>
      <c r="T158" s="6">
        <f t="shared" si="2"/>
        <v>0</v>
      </c>
      <c r="U158" t="s">
        <v>14</v>
      </c>
      <c r="V158" s="6">
        <v>0</v>
      </c>
      <c r="W158" s="6">
        <v>0</v>
      </c>
      <c r="X158" s="6">
        <v>0</v>
      </c>
      <c r="Y158" s="3">
        <v>1</v>
      </c>
      <c r="Z158" s="6">
        <v>2</v>
      </c>
      <c r="AA158" s="3">
        <v>99</v>
      </c>
      <c r="AB158" s="3">
        <v>0</v>
      </c>
      <c r="AC158" s="3">
        <v>3</v>
      </c>
      <c r="AD158" s="22">
        <v>1</v>
      </c>
      <c r="AE158" s="3">
        <v>2</v>
      </c>
      <c r="AF158" s="3">
        <v>2</v>
      </c>
      <c r="AG158" s="6">
        <v>0</v>
      </c>
      <c r="AH158" s="3">
        <v>0</v>
      </c>
      <c r="AI158" s="3">
        <v>1</v>
      </c>
      <c r="AJ158" s="3">
        <v>1</v>
      </c>
      <c r="AK158" s="3">
        <v>1</v>
      </c>
      <c r="AL158" s="3">
        <v>0</v>
      </c>
    </row>
    <row r="159" spans="1:38" x14ac:dyDescent="0.35">
      <c r="A159">
        <v>158</v>
      </c>
      <c r="B159" t="s">
        <v>70</v>
      </c>
      <c r="C159">
        <v>-0.04</v>
      </c>
      <c r="D159" t="s">
        <v>125</v>
      </c>
      <c r="E159" t="s">
        <v>121</v>
      </c>
      <c r="F159">
        <v>0</v>
      </c>
      <c r="G159">
        <v>0</v>
      </c>
      <c r="H159" s="25">
        <v>0.5</v>
      </c>
      <c r="I159" s="3">
        <v>0</v>
      </c>
      <c r="J159" s="3">
        <v>1</v>
      </c>
      <c r="K159" s="3">
        <v>1</v>
      </c>
      <c r="L159" s="3">
        <v>1</v>
      </c>
      <c r="M159" s="3">
        <v>1</v>
      </c>
      <c r="N159" s="3">
        <v>0</v>
      </c>
      <c r="O159" s="3">
        <v>1</v>
      </c>
      <c r="P159" s="3">
        <v>0</v>
      </c>
      <c r="Q159" s="3">
        <v>0</v>
      </c>
      <c r="R159" s="3">
        <v>1</v>
      </c>
      <c r="S159" s="3">
        <v>0</v>
      </c>
      <c r="T159" s="6">
        <f t="shared" si="2"/>
        <v>0</v>
      </c>
      <c r="U159" t="s">
        <v>135</v>
      </c>
      <c r="V159" s="6">
        <v>0</v>
      </c>
      <c r="W159" s="6">
        <v>2</v>
      </c>
      <c r="X159" s="6">
        <v>2</v>
      </c>
      <c r="Y159" s="3">
        <v>3</v>
      </c>
      <c r="Z159" s="6">
        <v>1</v>
      </c>
      <c r="AA159" s="3">
        <v>16</v>
      </c>
      <c r="AB159" s="3">
        <v>1</v>
      </c>
      <c r="AC159" s="3">
        <v>2</v>
      </c>
      <c r="AD159" s="22">
        <v>3</v>
      </c>
      <c r="AE159" s="3">
        <v>2</v>
      </c>
      <c r="AF159" s="3">
        <v>0</v>
      </c>
      <c r="AG159" s="6">
        <v>2</v>
      </c>
      <c r="AH159" s="3">
        <v>2</v>
      </c>
      <c r="AI159" s="3">
        <v>2</v>
      </c>
      <c r="AJ159" s="3">
        <v>2</v>
      </c>
      <c r="AK159" s="3">
        <v>0</v>
      </c>
      <c r="AL159" s="3">
        <v>2</v>
      </c>
    </row>
    <row r="160" spans="1:38" x14ac:dyDescent="0.35">
      <c r="A160">
        <v>159</v>
      </c>
      <c r="B160" t="s">
        <v>70</v>
      </c>
      <c r="C160">
        <v>-0.04</v>
      </c>
      <c r="D160" t="s">
        <v>125</v>
      </c>
      <c r="E160" t="s">
        <v>115</v>
      </c>
      <c r="F160">
        <v>1</v>
      </c>
      <c r="G160">
        <v>0</v>
      </c>
      <c r="H160" s="25">
        <v>0.25</v>
      </c>
      <c r="I160" s="3">
        <v>1</v>
      </c>
      <c r="J160" s="3">
        <v>0</v>
      </c>
      <c r="K160" s="3">
        <v>1</v>
      </c>
      <c r="L160" s="3">
        <v>0</v>
      </c>
      <c r="M160" s="3">
        <v>1</v>
      </c>
      <c r="N160" s="3">
        <v>0</v>
      </c>
      <c r="O160" s="3">
        <v>1</v>
      </c>
      <c r="P160" s="3">
        <v>0</v>
      </c>
      <c r="Q160" s="3">
        <v>1</v>
      </c>
      <c r="R160" s="3">
        <v>1</v>
      </c>
      <c r="S160" s="3">
        <v>0</v>
      </c>
      <c r="T160" s="6">
        <f t="shared" si="2"/>
        <v>0</v>
      </c>
      <c r="U160" t="s">
        <v>14</v>
      </c>
      <c r="V160" s="6">
        <v>0</v>
      </c>
      <c r="W160" s="6">
        <v>2</v>
      </c>
      <c r="X160" s="6">
        <v>2</v>
      </c>
      <c r="Y160" s="3">
        <v>1</v>
      </c>
      <c r="Z160" s="6">
        <v>4</v>
      </c>
      <c r="AA160" s="3">
        <v>93</v>
      </c>
      <c r="AB160" s="3">
        <v>3</v>
      </c>
      <c r="AC160" s="3">
        <v>4</v>
      </c>
      <c r="AD160" s="22">
        <v>1</v>
      </c>
      <c r="AE160" s="3">
        <v>3</v>
      </c>
      <c r="AF160" s="3">
        <v>2</v>
      </c>
      <c r="AG160" s="6">
        <v>0</v>
      </c>
      <c r="AH160" s="3">
        <v>1</v>
      </c>
      <c r="AI160" s="3">
        <v>2</v>
      </c>
      <c r="AJ160" s="3">
        <v>2</v>
      </c>
      <c r="AK160" s="3">
        <v>1</v>
      </c>
      <c r="AL160" s="3">
        <v>3</v>
      </c>
    </row>
    <row r="161" spans="1:38" s="14" customFormat="1" x14ac:dyDescent="0.35">
      <c r="A161" s="14">
        <v>160</v>
      </c>
      <c r="B161" s="14" t="s">
        <v>70</v>
      </c>
      <c r="C161" s="14">
        <v>-0.04</v>
      </c>
      <c r="D161" s="14" t="s">
        <v>125</v>
      </c>
      <c r="E161" s="14" t="s">
        <v>118</v>
      </c>
      <c r="F161" s="14">
        <v>1</v>
      </c>
      <c r="G161" s="14">
        <v>0</v>
      </c>
      <c r="H161" s="17">
        <v>0.5</v>
      </c>
      <c r="I161" s="6">
        <v>0</v>
      </c>
      <c r="J161" s="6">
        <v>1</v>
      </c>
      <c r="K161" s="6">
        <v>0</v>
      </c>
      <c r="L161" s="6">
        <v>0</v>
      </c>
      <c r="M161" s="6">
        <v>1</v>
      </c>
      <c r="N161" s="6">
        <v>0</v>
      </c>
      <c r="O161" s="6">
        <v>1</v>
      </c>
      <c r="P161" s="6">
        <v>0</v>
      </c>
      <c r="Q161" s="6">
        <v>0</v>
      </c>
      <c r="R161" s="6">
        <v>1</v>
      </c>
      <c r="S161" s="6">
        <v>0</v>
      </c>
      <c r="T161" s="6">
        <f t="shared" si="2"/>
        <v>0</v>
      </c>
      <c r="U161" s="14" t="s">
        <v>102</v>
      </c>
      <c r="V161" s="6">
        <v>0</v>
      </c>
      <c r="W161" s="6">
        <v>1</v>
      </c>
      <c r="X161" s="6">
        <v>1</v>
      </c>
      <c r="Y161" s="6">
        <v>3</v>
      </c>
      <c r="Z161" s="6">
        <v>1</v>
      </c>
      <c r="AA161" s="6">
        <v>92</v>
      </c>
      <c r="AB161" s="6">
        <v>0</v>
      </c>
      <c r="AC161" s="6">
        <v>2</v>
      </c>
      <c r="AD161" s="22">
        <v>3</v>
      </c>
      <c r="AE161" s="6">
        <v>4</v>
      </c>
      <c r="AF161" s="6">
        <v>1</v>
      </c>
      <c r="AG161" s="6">
        <v>1</v>
      </c>
      <c r="AH161" s="6">
        <v>0</v>
      </c>
      <c r="AI161" s="6">
        <v>1</v>
      </c>
      <c r="AJ161" s="6">
        <v>1</v>
      </c>
      <c r="AK161" s="6">
        <v>0</v>
      </c>
      <c r="AL161" s="6">
        <v>2</v>
      </c>
    </row>
    <row r="162" spans="1:38" x14ac:dyDescent="0.35">
      <c r="A162">
        <v>161</v>
      </c>
      <c r="B162" t="s">
        <v>70</v>
      </c>
      <c r="C162">
        <v>-0.04</v>
      </c>
      <c r="D162" t="s">
        <v>150</v>
      </c>
      <c r="E162" t="s">
        <v>121</v>
      </c>
      <c r="F162">
        <v>0</v>
      </c>
      <c r="G162">
        <v>0</v>
      </c>
      <c r="H162" s="25">
        <v>1</v>
      </c>
      <c r="I162" s="3">
        <v>0</v>
      </c>
      <c r="J162" s="3">
        <v>0</v>
      </c>
      <c r="K162" s="3">
        <v>0</v>
      </c>
      <c r="L162" s="3">
        <v>0</v>
      </c>
      <c r="M162" s="3">
        <v>0</v>
      </c>
      <c r="N162" s="3">
        <v>0</v>
      </c>
      <c r="O162" s="3">
        <v>1</v>
      </c>
      <c r="P162" s="3">
        <v>0</v>
      </c>
      <c r="Q162" s="3">
        <v>0</v>
      </c>
      <c r="R162" s="3">
        <v>1</v>
      </c>
      <c r="S162" s="3">
        <v>1</v>
      </c>
      <c r="T162" s="6">
        <f t="shared" si="2"/>
        <v>0</v>
      </c>
      <c r="U162" t="s">
        <v>106</v>
      </c>
      <c r="V162" s="6">
        <v>0</v>
      </c>
      <c r="W162" s="6">
        <v>0</v>
      </c>
      <c r="X162" s="6">
        <v>1</v>
      </c>
      <c r="Y162" s="3">
        <v>1</v>
      </c>
      <c r="Z162" s="6">
        <v>3</v>
      </c>
      <c r="AA162" s="3">
        <v>100</v>
      </c>
      <c r="AB162" s="3">
        <v>0</v>
      </c>
      <c r="AC162" s="3">
        <v>4</v>
      </c>
      <c r="AD162" s="22">
        <v>4</v>
      </c>
      <c r="AE162" s="3">
        <v>2</v>
      </c>
      <c r="AF162" s="3">
        <v>3</v>
      </c>
      <c r="AG162" s="6">
        <v>0</v>
      </c>
      <c r="AH162" s="3">
        <v>0</v>
      </c>
      <c r="AI162" s="3">
        <v>1</v>
      </c>
      <c r="AJ162" s="3">
        <v>2</v>
      </c>
      <c r="AK162" s="3">
        <v>1</v>
      </c>
      <c r="AL162" s="3">
        <v>3</v>
      </c>
    </row>
    <row r="163" spans="1:38" x14ac:dyDescent="0.35">
      <c r="A163">
        <v>162</v>
      </c>
      <c r="B163" t="s">
        <v>70</v>
      </c>
      <c r="C163">
        <v>-0.04</v>
      </c>
      <c r="D163" t="s">
        <v>137</v>
      </c>
      <c r="E163" t="s">
        <v>115</v>
      </c>
      <c r="F163">
        <v>1</v>
      </c>
      <c r="G163">
        <v>0</v>
      </c>
      <c r="H163" s="25">
        <v>0</v>
      </c>
      <c r="I163" s="3">
        <v>0</v>
      </c>
      <c r="J163" s="3">
        <v>0</v>
      </c>
      <c r="K163" s="3">
        <v>0</v>
      </c>
      <c r="L163" s="3">
        <v>0</v>
      </c>
      <c r="M163" s="3">
        <v>1</v>
      </c>
      <c r="N163" s="3">
        <v>0</v>
      </c>
      <c r="O163" s="3">
        <v>1</v>
      </c>
      <c r="P163" s="3">
        <v>0</v>
      </c>
      <c r="Q163" s="3">
        <v>0</v>
      </c>
      <c r="R163" s="3">
        <v>1</v>
      </c>
      <c r="S163" s="3">
        <v>0</v>
      </c>
      <c r="T163" s="6">
        <f t="shared" si="2"/>
        <v>0</v>
      </c>
      <c r="U163" t="s">
        <v>12</v>
      </c>
      <c r="V163" s="6">
        <v>0</v>
      </c>
      <c r="W163" s="6">
        <v>2</v>
      </c>
      <c r="X163" s="6">
        <v>2</v>
      </c>
      <c r="Y163" s="3">
        <v>2</v>
      </c>
      <c r="Z163" s="6">
        <v>2</v>
      </c>
      <c r="AA163" s="3">
        <v>40</v>
      </c>
      <c r="AB163" s="3">
        <v>0</v>
      </c>
      <c r="AC163" s="3">
        <v>5</v>
      </c>
      <c r="AD163" s="22">
        <v>4</v>
      </c>
      <c r="AE163" s="3">
        <v>3</v>
      </c>
      <c r="AF163" s="3">
        <v>0</v>
      </c>
      <c r="AG163" s="6">
        <v>0</v>
      </c>
      <c r="AH163" s="3">
        <v>0</v>
      </c>
      <c r="AI163" s="3">
        <v>2</v>
      </c>
      <c r="AJ163" s="3">
        <v>2</v>
      </c>
      <c r="AK163" s="3">
        <v>0</v>
      </c>
      <c r="AL163" s="3">
        <v>3</v>
      </c>
    </row>
    <row r="164" spans="1:38" x14ac:dyDescent="0.35">
      <c r="A164">
        <v>163</v>
      </c>
      <c r="B164" t="s">
        <v>64</v>
      </c>
      <c r="C164">
        <v>1.42</v>
      </c>
      <c r="D164" t="s">
        <v>150</v>
      </c>
      <c r="E164" t="s">
        <v>117</v>
      </c>
      <c r="F164">
        <v>1</v>
      </c>
      <c r="G164">
        <v>0</v>
      </c>
      <c r="H164" s="25">
        <v>0.5</v>
      </c>
      <c r="I164" s="3">
        <v>0</v>
      </c>
      <c r="J164" s="3">
        <v>0</v>
      </c>
      <c r="K164" s="3">
        <v>0</v>
      </c>
      <c r="L164" s="3">
        <v>0</v>
      </c>
      <c r="M164" s="3">
        <v>0</v>
      </c>
      <c r="N164" s="3">
        <v>0</v>
      </c>
      <c r="O164" s="3">
        <v>1</v>
      </c>
      <c r="P164" s="3">
        <v>0</v>
      </c>
      <c r="Q164" s="3">
        <v>0</v>
      </c>
      <c r="R164" s="3">
        <v>1</v>
      </c>
      <c r="S164" s="3">
        <v>1</v>
      </c>
      <c r="T164" s="6">
        <f t="shared" si="2"/>
        <v>0</v>
      </c>
      <c r="U164" t="s">
        <v>14</v>
      </c>
      <c r="V164" s="6">
        <v>0</v>
      </c>
      <c r="W164" s="6">
        <v>2</v>
      </c>
      <c r="X164" s="6">
        <v>1</v>
      </c>
      <c r="Y164" s="3">
        <v>2</v>
      </c>
      <c r="Z164" s="6">
        <v>1</v>
      </c>
      <c r="AA164" s="3">
        <v>60</v>
      </c>
      <c r="AB164" s="3">
        <v>0</v>
      </c>
      <c r="AC164" s="3">
        <v>4</v>
      </c>
      <c r="AD164" s="22">
        <v>4</v>
      </c>
      <c r="AE164" s="3">
        <v>4</v>
      </c>
      <c r="AF164" s="3">
        <v>2</v>
      </c>
      <c r="AG164" s="6">
        <v>1</v>
      </c>
      <c r="AH164" s="3">
        <v>0</v>
      </c>
      <c r="AI164" s="3">
        <v>1</v>
      </c>
      <c r="AJ164" s="3">
        <v>0</v>
      </c>
      <c r="AK164" s="3">
        <v>1</v>
      </c>
      <c r="AL164" s="3">
        <v>0</v>
      </c>
    </row>
    <row r="165" spans="1:38" x14ac:dyDescent="0.35">
      <c r="A165">
        <v>164</v>
      </c>
      <c r="B165" t="s">
        <v>66</v>
      </c>
      <c r="C165">
        <v>1.61</v>
      </c>
      <c r="D165" t="s">
        <v>151</v>
      </c>
      <c r="E165" t="s">
        <v>123</v>
      </c>
      <c r="F165">
        <v>0</v>
      </c>
      <c r="G165">
        <v>0</v>
      </c>
      <c r="H165" s="25">
        <v>0.5</v>
      </c>
      <c r="I165" s="3">
        <v>0</v>
      </c>
      <c r="J165" s="3">
        <v>0</v>
      </c>
      <c r="K165" s="3">
        <v>0</v>
      </c>
      <c r="L165" s="3">
        <v>0</v>
      </c>
      <c r="M165" s="3">
        <v>0</v>
      </c>
      <c r="N165" s="3">
        <v>0</v>
      </c>
      <c r="O165" s="3">
        <v>1</v>
      </c>
      <c r="P165" s="3">
        <v>0</v>
      </c>
      <c r="Q165" s="3">
        <v>0</v>
      </c>
      <c r="R165" s="3">
        <v>0</v>
      </c>
      <c r="S165" s="3">
        <v>0</v>
      </c>
      <c r="T165" s="6">
        <f t="shared" si="2"/>
        <v>0</v>
      </c>
      <c r="U165" t="s">
        <v>42</v>
      </c>
      <c r="V165" s="6">
        <v>0</v>
      </c>
      <c r="W165" s="6">
        <v>1</v>
      </c>
      <c r="X165" s="6">
        <v>1</v>
      </c>
      <c r="Y165" s="3">
        <v>2</v>
      </c>
      <c r="Z165" s="6">
        <v>1</v>
      </c>
      <c r="AA165" s="3">
        <v>7</v>
      </c>
      <c r="AB165" s="3">
        <v>3</v>
      </c>
      <c r="AC165" s="3">
        <v>5</v>
      </c>
      <c r="AD165" s="22">
        <v>2</v>
      </c>
      <c r="AE165" s="3">
        <v>1</v>
      </c>
      <c r="AF165" s="3">
        <v>1</v>
      </c>
      <c r="AG165" s="6">
        <v>0</v>
      </c>
      <c r="AH165" s="3">
        <v>1</v>
      </c>
      <c r="AI165" s="3">
        <v>1</v>
      </c>
      <c r="AJ165" s="3">
        <v>2</v>
      </c>
      <c r="AK165" s="3">
        <v>3</v>
      </c>
      <c r="AL165" s="3">
        <v>3</v>
      </c>
    </row>
    <row r="166" spans="1:38" x14ac:dyDescent="0.35">
      <c r="A166">
        <v>165</v>
      </c>
      <c r="B166" t="s">
        <v>64</v>
      </c>
      <c r="C166">
        <v>1.42</v>
      </c>
      <c r="D166" t="s">
        <v>150</v>
      </c>
      <c r="E166" t="s">
        <v>117</v>
      </c>
      <c r="F166">
        <v>0</v>
      </c>
      <c r="G166">
        <v>0</v>
      </c>
      <c r="H166" s="25">
        <v>1</v>
      </c>
      <c r="I166" s="3">
        <v>0</v>
      </c>
      <c r="J166" s="3">
        <v>1</v>
      </c>
      <c r="K166" s="3">
        <v>1</v>
      </c>
      <c r="L166" s="3">
        <v>0</v>
      </c>
      <c r="M166" s="3">
        <v>0</v>
      </c>
      <c r="N166" s="3">
        <v>0</v>
      </c>
      <c r="O166" s="3">
        <v>0</v>
      </c>
      <c r="P166" s="3">
        <v>0</v>
      </c>
      <c r="Q166" s="3">
        <v>0</v>
      </c>
      <c r="R166" s="3">
        <v>1</v>
      </c>
      <c r="S166" s="3">
        <v>1</v>
      </c>
      <c r="T166" s="6">
        <f t="shared" si="2"/>
        <v>0</v>
      </c>
      <c r="U166" t="s">
        <v>134</v>
      </c>
      <c r="V166" s="6">
        <v>0</v>
      </c>
      <c r="W166" s="6">
        <v>0</v>
      </c>
      <c r="X166" s="6">
        <v>0</v>
      </c>
      <c r="Y166" s="3">
        <v>1</v>
      </c>
      <c r="Z166" s="6">
        <v>1</v>
      </c>
      <c r="AA166" s="3">
        <v>4</v>
      </c>
      <c r="AB166" s="3">
        <v>0</v>
      </c>
      <c r="AC166" s="3">
        <v>2</v>
      </c>
      <c r="AD166" s="22">
        <v>3</v>
      </c>
      <c r="AE166" s="3">
        <v>4</v>
      </c>
      <c r="AF166" s="3">
        <v>3</v>
      </c>
      <c r="AG166" s="6">
        <v>0</v>
      </c>
      <c r="AH166" s="3">
        <v>0</v>
      </c>
      <c r="AI166" s="3">
        <v>1</v>
      </c>
      <c r="AJ166" s="3">
        <v>1</v>
      </c>
      <c r="AK166" s="3">
        <v>1</v>
      </c>
      <c r="AL166" s="3">
        <v>2</v>
      </c>
    </row>
    <row r="167" spans="1:38" x14ac:dyDescent="0.35">
      <c r="A167">
        <v>166</v>
      </c>
      <c r="B167" t="s">
        <v>127</v>
      </c>
      <c r="C167">
        <v>1.81</v>
      </c>
      <c r="D167" t="s">
        <v>124</v>
      </c>
      <c r="E167" t="s">
        <v>121</v>
      </c>
      <c r="F167">
        <v>1</v>
      </c>
      <c r="G167">
        <v>0</v>
      </c>
      <c r="H167" s="25">
        <v>0.5</v>
      </c>
      <c r="I167" s="3">
        <v>0</v>
      </c>
      <c r="J167" s="3">
        <v>0</v>
      </c>
      <c r="K167" s="3">
        <v>0</v>
      </c>
      <c r="L167" s="3">
        <v>0</v>
      </c>
      <c r="M167" s="3">
        <v>0</v>
      </c>
      <c r="N167" s="3">
        <v>0</v>
      </c>
      <c r="O167" s="3">
        <v>0</v>
      </c>
      <c r="P167" s="3">
        <v>0</v>
      </c>
      <c r="Q167" s="3">
        <v>0</v>
      </c>
      <c r="R167" s="3">
        <v>0</v>
      </c>
      <c r="S167" s="3">
        <v>1</v>
      </c>
      <c r="T167" s="6">
        <f t="shared" si="2"/>
        <v>0</v>
      </c>
      <c r="U167" t="s">
        <v>42</v>
      </c>
      <c r="V167" s="6">
        <v>0</v>
      </c>
      <c r="W167" s="6">
        <v>0</v>
      </c>
      <c r="X167" s="6">
        <v>0</v>
      </c>
      <c r="Y167" s="3">
        <v>1</v>
      </c>
      <c r="Z167" s="6">
        <v>2</v>
      </c>
      <c r="AA167" s="3">
        <v>12</v>
      </c>
      <c r="AB167" s="3">
        <v>0</v>
      </c>
      <c r="AC167" s="3">
        <v>5</v>
      </c>
      <c r="AD167" s="22">
        <v>1</v>
      </c>
      <c r="AE167" s="3">
        <v>4</v>
      </c>
      <c r="AF167" s="3">
        <v>2</v>
      </c>
      <c r="AG167" s="6">
        <v>0</v>
      </c>
      <c r="AH167" s="3">
        <v>0</v>
      </c>
      <c r="AI167" s="3">
        <v>1</v>
      </c>
      <c r="AJ167" s="3">
        <v>2</v>
      </c>
      <c r="AK167" s="3">
        <v>0</v>
      </c>
      <c r="AL167" s="3">
        <v>2</v>
      </c>
    </row>
    <row r="168" spans="1:38" x14ac:dyDescent="0.35">
      <c r="A168">
        <v>167</v>
      </c>
      <c r="B168" t="s">
        <v>70</v>
      </c>
      <c r="C168">
        <v>-0.04</v>
      </c>
      <c r="D168" t="s">
        <v>125</v>
      </c>
      <c r="E168" t="s">
        <v>117</v>
      </c>
      <c r="F168">
        <v>1</v>
      </c>
      <c r="G168">
        <v>0</v>
      </c>
      <c r="H168" s="25">
        <v>0</v>
      </c>
      <c r="I168" s="3">
        <v>0</v>
      </c>
      <c r="J168" s="3">
        <v>0</v>
      </c>
      <c r="K168" s="3">
        <v>0</v>
      </c>
      <c r="L168" s="3">
        <v>0</v>
      </c>
      <c r="M168" s="3">
        <v>0</v>
      </c>
      <c r="N168" s="3">
        <v>0</v>
      </c>
      <c r="O168" s="3">
        <v>1</v>
      </c>
      <c r="P168" s="3">
        <v>0</v>
      </c>
      <c r="Q168" s="3">
        <v>0</v>
      </c>
      <c r="R168" s="3">
        <v>0</v>
      </c>
      <c r="S168" s="3">
        <v>0</v>
      </c>
      <c r="T168" s="6">
        <f t="shared" si="2"/>
        <v>0</v>
      </c>
      <c r="U168" t="s">
        <v>42</v>
      </c>
      <c r="V168" s="6">
        <v>0</v>
      </c>
      <c r="W168" s="6">
        <v>0</v>
      </c>
      <c r="X168" s="6">
        <v>0</v>
      </c>
      <c r="Y168" s="3">
        <v>1</v>
      </c>
      <c r="Z168" s="6">
        <v>1</v>
      </c>
      <c r="AA168" s="3">
        <v>103</v>
      </c>
      <c r="AB168" s="3">
        <v>1</v>
      </c>
      <c r="AC168" s="3">
        <v>1</v>
      </c>
      <c r="AD168" s="22">
        <v>2</v>
      </c>
      <c r="AE168" s="3">
        <v>4</v>
      </c>
      <c r="AF168" s="3">
        <v>0</v>
      </c>
      <c r="AG168" s="6">
        <v>2</v>
      </c>
      <c r="AH168" s="3">
        <v>0</v>
      </c>
      <c r="AI168" s="3">
        <v>2</v>
      </c>
      <c r="AJ168" s="3">
        <v>1</v>
      </c>
      <c r="AK168" s="3">
        <v>0</v>
      </c>
      <c r="AL168" s="3">
        <v>2</v>
      </c>
    </row>
    <row r="169" spans="1:38" x14ac:dyDescent="0.35">
      <c r="A169">
        <v>168</v>
      </c>
      <c r="B169" t="s">
        <v>127</v>
      </c>
      <c r="C169">
        <v>1.81</v>
      </c>
      <c r="D169" t="s">
        <v>124</v>
      </c>
      <c r="E169" t="s">
        <v>115</v>
      </c>
      <c r="F169">
        <v>1</v>
      </c>
      <c r="G169">
        <v>0</v>
      </c>
      <c r="H169" s="25">
        <v>1</v>
      </c>
      <c r="I169" s="3">
        <v>0</v>
      </c>
      <c r="J169" s="3">
        <v>1</v>
      </c>
      <c r="K169" s="3">
        <v>1</v>
      </c>
      <c r="L169" s="3">
        <v>1</v>
      </c>
      <c r="M169" s="3">
        <v>1</v>
      </c>
      <c r="N169" s="3">
        <v>0</v>
      </c>
      <c r="O169" s="3">
        <v>1</v>
      </c>
      <c r="P169" s="3">
        <v>1</v>
      </c>
      <c r="Q169" s="3">
        <v>0</v>
      </c>
      <c r="R169" s="3">
        <v>0</v>
      </c>
      <c r="S169" s="3">
        <v>1</v>
      </c>
      <c r="T169" s="6">
        <f t="shared" si="2"/>
        <v>0</v>
      </c>
      <c r="U169" t="s">
        <v>133</v>
      </c>
      <c r="V169" s="6">
        <v>1</v>
      </c>
      <c r="W169" s="6">
        <v>0</v>
      </c>
      <c r="X169" s="6">
        <v>0</v>
      </c>
      <c r="Y169" s="3">
        <v>6</v>
      </c>
      <c r="AA169" s="3">
        <v>6</v>
      </c>
      <c r="AB169" s="3">
        <v>0</v>
      </c>
      <c r="AC169" s="3">
        <v>2</v>
      </c>
      <c r="AD169" s="22">
        <v>3</v>
      </c>
      <c r="AE169" s="3">
        <v>4</v>
      </c>
      <c r="AF169" s="3">
        <v>0</v>
      </c>
      <c r="AG169" s="6">
        <v>1</v>
      </c>
      <c r="AH169" s="3">
        <v>0</v>
      </c>
      <c r="AI169" s="3">
        <v>1</v>
      </c>
      <c r="AJ169" s="3">
        <v>2</v>
      </c>
      <c r="AK169" s="3">
        <v>1</v>
      </c>
      <c r="AL169" s="3"/>
    </row>
    <row r="170" spans="1:38" x14ac:dyDescent="0.35">
      <c r="A170">
        <v>169</v>
      </c>
      <c r="B170" t="s">
        <v>66</v>
      </c>
      <c r="C170">
        <v>1.61</v>
      </c>
      <c r="D170" t="s">
        <v>114</v>
      </c>
      <c r="E170" t="s">
        <v>118</v>
      </c>
      <c r="F170">
        <v>1</v>
      </c>
      <c r="G170">
        <v>0</v>
      </c>
      <c r="H170" s="25">
        <v>0</v>
      </c>
      <c r="I170" s="3">
        <v>0</v>
      </c>
      <c r="J170" s="3">
        <v>0</v>
      </c>
      <c r="K170" s="3">
        <v>0</v>
      </c>
      <c r="L170" s="3">
        <v>0</v>
      </c>
      <c r="M170" s="3">
        <v>0</v>
      </c>
      <c r="N170" s="3">
        <v>0</v>
      </c>
      <c r="O170" s="3">
        <v>1</v>
      </c>
      <c r="P170" s="3">
        <v>0</v>
      </c>
      <c r="Q170" s="3">
        <v>0</v>
      </c>
      <c r="R170" s="3">
        <v>0</v>
      </c>
      <c r="S170" s="3">
        <v>0</v>
      </c>
      <c r="T170" s="6">
        <f t="shared" si="2"/>
        <v>0</v>
      </c>
      <c r="U170" t="s">
        <v>42</v>
      </c>
      <c r="V170" s="6">
        <v>0</v>
      </c>
      <c r="W170" s="6">
        <v>0</v>
      </c>
      <c r="X170" s="6">
        <v>0</v>
      </c>
      <c r="Y170" s="3">
        <v>1</v>
      </c>
      <c r="Z170" s="6">
        <v>2</v>
      </c>
      <c r="AA170" s="3">
        <v>71</v>
      </c>
      <c r="AB170" s="3">
        <v>1</v>
      </c>
      <c r="AC170" s="3">
        <v>2</v>
      </c>
      <c r="AD170" s="22">
        <v>2</v>
      </c>
      <c r="AE170" s="3">
        <v>2</v>
      </c>
      <c r="AF170" s="3">
        <v>2</v>
      </c>
      <c r="AG170" s="6">
        <v>0</v>
      </c>
      <c r="AH170" s="3">
        <v>0</v>
      </c>
      <c r="AI170" s="3">
        <v>1</v>
      </c>
      <c r="AJ170" s="3">
        <v>1</v>
      </c>
      <c r="AK170" s="3">
        <v>0</v>
      </c>
      <c r="AL170" s="3">
        <v>2</v>
      </c>
    </row>
    <row r="171" spans="1:38" x14ac:dyDescent="0.35">
      <c r="A171">
        <v>170</v>
      </c>
      <c r="B171" t="s">
        <v>70</v>
      </c>
      <c r="C171">
        <v>-0.04</v>
      </c>
      <c r="D171" t="s">
        <v>125</v>
      </c>
      <c r="E171" t="s">
        <v>121</v>
      </c>
      <c r="F171">
        <v>1</v>
      </c>
      <c r="G171">
        <v>0</v>
      </c>
      <c r="H171" s="25">
        <v>0.25</v>
      </c>
      <c r="I171" s="3">
        <v>1</v>
      </c>
      <c r="J171" s="3">
        <v>1</v>
      </c>
      <c r="K171" s="3">
        <v>0</v>
      </c>
      <c r="L171" s="3">
        <v>1</v>
      </c>
      <c r="M171" s="3">
        <v>0</v>
      </c>
      <c r="N171" s="3">
        <v>0</v>
      </c>
      <c r="O171" s="3">
        <v>1</v>
      </c>
      <c r="P171" s="3">
        <v>0</v>
      </c>
      <c r="Q171" s="3">
        <v>1</v>
      </c>
      <c r="R171" s="3">
        <v>0</v>
      </c>
      <c r="S171" s="3">
        <v>0</v>
      </c>
      <c r="T171" s="6">
        <f t="shared" si="2"/>
        <v>0</v>
      </c>
      <c r="U171" t="s">
        <v>110</v>
      </c>
      <c r="V171" s="6">
        <v>0</v>
      </c>
      <c r="W171" s="6">
        <v>1</v>
      </c>
      <c r="X171" s="6">
        <v>1</v>
      </c>
      <c r="Y171" s="3">
        <v>1</v>
      </c>
      <c r="Z171" s="6">
        <v>1</v>
      </c>
      <c r="AA171" s="3">
        <v>40</v>
      </c>
      <c r="AB171" s="3">
        <v>0</v>
      </c>
      <c r="AC171" s="3">
        <v>4</v>
      </c>
      <c r="AD171" s="22">
        <v>3</v>
      </c>
      <c r="AE171" s="3">
        <v>2</v>
      </c>
      <c r="AF171" s="3">
        <v>3</v>
      </c>
      <c r="AG171" s="6">
        <v>0</v>
      </c>
      <c r="AH171" s="3">
        <v>2</v>
      </c>
      <c r="AI171" s="3">
        <v>1</v>
      </c>
      <c r="AJ171" s="3">
        <v>2</v>
      </c>
      <c r="AK171" s="3">
        <v>3</v>
      </c>
      <c r="AL171" s="3">
        <v>3</v>
      </c>
    </row>
    <row r="172" spans="1:38" x14ac:dyDescent="0.35">
      <c r="A172">
        <v>171</v>
      </c>
      <c r="B172" t="s">
        <v>127</v>
      </c>
      <c r="C172">
        <v>1.81</v>
      </c>
      <c r="D172" t="s">
        <v>124</v>
      </c>
      <c r="E172" t="s">
        <v>121</v>
      </c>
      <c r="F172">
        <v>1</v>
      </c>
      <c r="G172">
        <v>0</v>
      </c>
      <c r="H172" s="25">
        <v>0.25</v>
      </c>
      <c r="I172" s="3">
        <v>0</v>
      </c>
      <c r="J172" s="3">
        <v>0</v>
      </c>
      <c r="K172" s="3">
        <v>0</v>
      </c>
      <c r="L172" s="3">
        <v>0</v>
      </c>
      <c r="M172" s="3">
        <v>1</v>
      </c>
      <c r="N172" s="3">
        <v>0</v>
      </c>
      <c r="O172" s="3">
        <v>1</v>
      </c>
      <c r="P172" s="3">
        <v>0</v>
      </c>
      <c r="Q172" s="3">
        <v>1</v>
      </c>
      <c r="R172" s="3">
        <v>1</v>
      </c>
      <c r="S172" s="3">
        <v>1</v>
      </c>
      <c r="T172" s="6">
        <f t="shared" si="2"/>
        <v>0</v>
      </c>
      <c r="U172" t="s">
        <v>12</v>
      </c>
      <c r="V172" s="6">
        <v>0</v>
      </c>
      <c r="W172" s="6">
        <v>1</v>
      </c>
      <c r="X172" s="6">
        <v>1</v>
      </c>
      <c r="Y172" s="3">
        <v>3</v>
      </c>
      <c r="Z172" s="6">
        <v>4</v>
      </c>
      <c r="AA172" s="3">
        <v>4</v>
      </c>
      <c r="AB172" s="3">
        <v>4</v>
      </c>
      <c r="AC172" s="3">
        <v>3</v>
      </c>
      <c r="AD172" s="22">
        <v>1</v>
      </c>
      <c r="AE172" s="3">
        <v>4</v>
      </c>
      <c r="AF172" s="3">
        <v>2</v>
      </c>
      <c r="AG172" s="6">
        <v>1</v>
      </c>
      <c r="AH172" s="3">
        <v>1</v>
      </c>
      <c r="AI172" s="3">
        <v>2</v>
      </c>
      <c r="AJ172" s="3">
        <v>2</v>
      </c>
      <c r="AK172" s="3">
        <v>0</v>
      </c>
      <c r="AL172" s="3">
        <v>2</v>
      </c>
    </row>
    <row r="173" spans="1:38" x14ac:dyDescent="0.35">
      <c r="A173">
        <v>172</v>
      </c>
      <c r="B173" t="s">
        <v>127</v>
      </c>
      <c r="C173">
        <v>1.81</v>
      </c>
      <c r="D173" t="s">
        <v>124</v>
      </c>
      <c r="E173" t="s">
        <v>115</v>
      </c>
      <c r="F173">
        <v>1</v>
      </c>
      <c r="G173">
        <v>0</v>
      </c>
      <c r="H173" s="25">
        <v>1</v>
      </c>
      <c r="I173" s="3">
        <v>0</v>
      </c>
      <c r="J173" s="3">
        <v>1</v>
      </c>
      <c r="K173" s="3">
        <v>0</v>
      </c>
      <c r="L173" s="3">
        <v>0</v>
      </c>
      <c r="M173" s="3">
        <v>0</v>
      </c>
      <c r="N173" s="3">
        <v>0</v>
      </c>
      <c r="O173" s="3">
        <v>0</v>
      </c>
      <c r="P173" s="3">
        <v>0</v>
      </c>
      <c r="Q173" s="3">
        <v>0</v>
      </c>
      <c r="R173" s="3">
        <v>0</v>
      </c>
      <c r="S173" s="3">
        <v>0</v>
      </c>
      <c r="T173" s="6">
        <f t="shared" si="2"/>
        <v>0</v>
      </c>
      <c r="U173" t="s">
        <v>133</v>
      </c>
      <c r="V173" s="6">
        <v>1</v>
      </c>
      <c r="W173" s="6">
        <v>0</v>
      </c>
      <c r="X173" s="6">
        <v>0</v>
      </c>
      <c r="Y173" s="3">
        <v>2</v>
      </c>
      <c r="Z173" s="6">
        <v>4</v>
      </c>
      <c r="AA173" s="3">
        <v>15</v>
      </c>
      <c r="AB173" s="3">
        <v>0</v>
      </c>
      <c r="AC173" s="3">
        <v>5</v>
      </c>
      <c r="AD173" s="22">
        <v>4</v>
      </c>
      <c r="AE173" s="3">
        <v>3</v>
      </c>
      <c r="AF173" s="3">
        <v>0</v>
      </c>
      <c r="AG173" s="6">
        <v>3</v>
      </c>
      <c r="AH173" s="3">
        <v>0</v>
      </c>
      <c r="AI173" s="3">
        <v>1</v>
      </c>
      <c r="AJ173" s="3">
        <v>2</v>
      </c>
      <c r="AK173" s="3">
        <v>0</v>
      </c>
      <c r="AL173" s="3">
        <v>0</v>
      </c>
    </row>
    <row r="174" spans="1:38" x14ac:dyDescent="0.35">
      <c r="A174">
        <v>173</v>
      </c>
      <c r="B174" t="s">
        <v>64</v>
      </c>
      <c r="C174">
        <v>1.42</v>
      </c>
      <c r="D174" t="s">
        <v>150</v>
      </c>
      <c r="E174" t="s">
        <v>115</v>
      </c>
      <c r="F174">
        <v>1</v>
      </c>
      <c r="G174">
        <v>0</v>
      </c>
      <c r="H174" s="25">
        <v>0</v>
      </c>
      <c r="I174" s="3">
        <v>0</v>
      </c>
      <c r="J174" s="3">
        <v>0</v>
      </c>
      <c r="K174" s="3">
        <v>0</v>
      </c>
      <c r="L174" s="3">
        <v>0</v>
      </c>
      <c r="M174" s="3">
        <v>0</v>
      </c>
      <c r="N174" s="3">
        <v>0</v>
      </c>
      <c r="O174" s="3">
        <v>0</v>
      </c>
      <c r="P174" s="3">
        <v>0</v>
      </c>
      <c r="Q174" s="3">
        <v>0</v>
      </c>
      <c r="R174" s="3">
        <v>0</v>
      </c>
      <c r="S174" s="3">
        <v>0</v>
      </c>
      <c r="T174" s="6">
        <f t="shared" si="2"/>
        <v>1</v>
      </c>
      <c r="U174" t="s">
        <v>42</v>
      </c>
      <c r="V174" s="6">
        <v>0</v>
      </c>
      <c r="W174" s="6">
        <v>2</v>
      </c>
      <c r="X174" s="6">
        <v>2</v>
      </c>
      <c r="Y174" s="3">
        <v>1</v>
      </c>
      <c r="Z174" s="6">
        <v>4</v>
      </c>
      <c r="AA174" s="3">
        <v>4</v>
      </c>
      <c r="AB174" s="3">
        <v>0</v>
      </c>
      <c r="AC174" s="3">
        <v>3</v>
      </c>
      <c r="AD174" s="22">
        <v>3</v>
      </c>
      <c r="AE174" s="3">
        <v>4</v>
      </c>
      <c r="AF174" s="3">
        <v>0</v>
      </c>
      <c r="AG174" s="6">
        <v>1</v>
      </c>
      <c r="AH174" s="3">
        <v>0</v>
      </c>
      <c r="AI174" s="3">
        <v>2</v>
      </c>
      <c r="AJ174" s="3">
        <v>1</v>
      </c>
      <c r="AK174" s="3">
        <v>0</v>
      </c>
      <c r="AL174" s="3">
        <v>3</v>
      </c>
    </row>
    <row r="175" spans="1:38" x14ac:dyDescent="0.35">
      <c r="A175">
        <v>174</v>
      </c>
      <c r="B175" t="s">
        <v>64</v>
      </c>
      <c r="C175">
        <v>1.42</v>
      </c>
      <c r="D175" t="s">
        <v>150</v>
      </c>
      <c r="E175" t="s">
        <v>117</v>
      </c>
      <c r="F175">
        <v>1</v>
      </c>
      <c r="G175">
        <v>0</v>
      </c>
      <c r="H175" s="25">
        <v>1</v>
      </c>
      <c r="I175" s="3">
        <v>0</v>
      </c>
      <c r="J175" s="3">
        <v>1</v>
      </c>
      <c r="K175" s="3">
        <v>1</v>
      </c>
      <c r="L175" s="3">
        <v>0</v>
      </c>
      <c r="M175" s="3">
        <v>1</v>
      </c>
      <c r="N175" s="3">
        <v>0</v>
      </c>
      <c r="O175" s="3">
        <v>1</v>
      </c>
      <c r="P175" s="3">
        <v>0</v>
      </c>
      <c r="Q175" s="3">
        <v>0</v>
      </c>
      <c r="R175" s="3">
        <v>0</v>
      </c>
      <c r="S175" s="3">
        <v>0</v>
      </c>
      <c r="T175" s="6">
        <f t="shared" si="2"/>
        <v>0</v>
      </c>
      <c r="U175" t="s">
        <v>133</v>
      </c>
      <c r="V175" s="6">
        <v>2</v>
      </c>
      <c r="W175" s="6">
        <v>1</v>
      </c>
      <c r="X175" s="6">
        <v>1</v>
      </c>
      <c r="Y175" s="3">
        <v>2</v>
      </c>
      <c r="Z175" s="6">
        <v>4</v>
      </c>
      <c r="AA175" s="3">
        <v>60</v>
      </c>
      <c r="AB175" s="3">
        <v>0</v>
      </c>
      <c r="AC175" s="3">
        <v>3</v>
      </c>
      <c r="AD175" s="22">
        <v>3</v>
      </c>
      <c r="AE175" s="3">
        <v>4</v>
      </c>
      <c r="AF175" s="3">
        <v>3</v>
      </c>
      <c r="AG175" s="6">
        <v>1</v>
      </c>
      <c r="AH175" s="3">
        <v>0</v>
      </c>
      <c r="AI175" s="3">
        <v>1</v>
      </c>
      <c r="AJ175" s="3">
        <v>2</v>
      </c>
      <c r="AK175" s="3">
        <v>0</v>
      </c>
      <c r="AL175" s="3">
        <v>2</v>
      </c>
    </row>
    <row r="176" spans="1:38" x14ac:dyDescent="0.35">
      <c r="A176">
        <v>175</v>
      </c>
      <c r="B176" t="s">
        <v>70</v>
      </c>
      <c r="C176">
        <v>-0.04</v>
      </c>
      <c r="D176" t="s">
        <v>150</v>
      </c>
      <c r="E176" t="s">
        <v>121</v>
      </c>
      <c r="F176">
        <v>0</v>
      </c>
      <c r="G176">
        <v>0</v>
      </c>
      <c r="H176" s="25">
        <v>0.25</v>
      </c>
      <c r="I176" s="3">
        <v>0</v>
      </c>
      <c r="J176" s="3">
        <v>0</v>
      </c>
      <c r="K176" s="3">
        <v>0</v>
      </c>
      <c r="L176" s="3">
        <v>0</v>
      </c>
      <c r="M176" s="3">
        <v>1</v>
      </c>
      <c r="N176" s="3">
        <v>0</v>
      </c>
      <c r="O176" s="3">
        <v>1</v>
      </c>
      <c r="P176" s="3">
        <v>0</v>
      </c>
      <c r="Q176" s="3">
        <v>0</v>
      </c>
      <c r="R176" s="3">
        <v>1</v>
      </c>
      <c r="S176" s="3">
        <v>0</v>
      </c>
      <c r="T176" s="6">
        <f t="shared" si="2"/>
        <v>0</v>
      </c>
      <c r="U176" t="s">
        <v>12</v>
      </c>
      <c r="V176" s="6">
        <v>0</v>
      </c>
      <c r="W176" s="6">
        <v>2</v>
      </c>
      <c r="X176" s="6">
        <v>1</v>
      </c>
      <c r="Y176" s="3">
        <v>4</v>
      </c>
      <c r="Z176" s="6">
        <v>4</v>
      </c>
      <c r="AA176" s="3">
        <v>60</v>
      </c>
      <c r="AB176" s="3">
        <v>3</v>
      </c>
      <c r="AC176" s="3">
        <v>4</v>
      </c>
      <c r="AD176" s="22">
        <v>3</v>
      </c>
      <c r="AE176" s="3">
        <v>4</v>
      </c>
      <c r="AF176" s="3">
        <v>2</v>
      </c>
      <c r="AG176" s="6">
        <v>1</v>
      </c>
      <c r="AH176" s="3">
        <v>1</v>
      </c>
      <c r="AI176" s="3">
        <v>1</v>
      </c>
      <c r="AJ176" s="3">
        <v>2</v>
      </c>
      <c r="AK176" s="3">
        <v>2</v>
      </c>
      <c r="AL176" s="3">
        <v>2</v>
      </c>
    </row>
    <row r="177" spans="1:38" x14ac:dyDescent="0.35">
      <c r="A177">
        <v>176</v>
      </c>
      <c r="B177" t="s">
        <v>127</v>
      </c>
      <c r="C177">
        <v>1.81</v>
      </c>
      <c r="D177" t="s">
        <v>124</v>
      </c>
      <c r="E177" t="s">
        <v>115</v>
      </c>
      <c r="F177">
        <v>0</v>
      </c>
      <c r="G177">
        <v>0</v>
      </c>
      <c r="H177" s="25">
        <v>0.75</v>
      </c>
      <c r="I177" s="3">
        <v>0</v>
      </c>
      <c r="J177" s="3">
        <v>1</v>
      </c>
      <c r="K177" s="3">
        <v>0</v>
      </c>
      <c r="L177" s="3">
        <v>0</v>
      </c>
      <c r="M177" s="3">
        <v>1</v>
      </c>
      <c r="N177" s="3">
        <v>1</v>
      </c>
      <c r="O177" s="3">
        <v>1</v>
      </c>
      <c r="P177" s="3">
        <v>0</v>
      </c>
      <c r="Q177" s="3">
        <v>0</v>
      </c>
      <c r="R177" s="3">
        <v>0</v>
      </c>
      <c r="S177" s="3">
        <v>1</v>
      </c>
      <c r="T177" s="6">
        <f t="shared" si="2"/>
        <v>0</v>
      </c>
      <c r="U177" t="s">
        <v>133</v>
      </c>
      <c r="V177" s="6">
        <v>0</v>
      </c>
      <c r="W177" s="6">
        <v>0</v>
      </c>
      <c r="X177" s="6">
        <v>0</v>
      </c>
      <c r="Y177" s="3">
        <v>2</v>
      </c>
      <c r="AA177" s="3">
        <v>95</v>
      </c>
      <c r="AB177" s="3">
        <v>0</v>
      </c>
      <c r="AC177" s="3">
        <v>5</v>
      </c>
      <c r="AD177" s="22">
        <v>1</v>
      </c>
      <c r="AE177" s="3">
        <v>4</v>
      </c>
      <c r="AF177" s="3">
        <v>0</v>
      </c>
      <c r="AG177" s="6">
        <v>0</v>
      </c>
      <c r="AH177" s="3">
        <v>0</v>
      </c>
      <c r="AI177" s="3">
        <v>1</v>
      </c>
      <c r="AJ177" s="3">
        <v>2</v>
      </c>
      <c r="AK177" s="3">
        <v>0</v>
      </c>
      <c r="AL177" s="3">
        <v>2</v>
      </c>
    </row>
    <row r="178" spans="1:38" x14ac:dyDescent="0.35">
      <c r="A178">
        <v>177</v>
      </c>
      <c r="B178" t="s">
        <v>64</v>
      </c>
      <c r="C178">
        <v>1.42</v>
      </c>
      <c r="D178" t="s">
        <v>150</v>
      </c>
      <c r="E178" t="s">
        <v>115</v>
      </c>
      <c r="F178">
        <v>1</v>
      </c>
      <c r="G178">
        <v>0</v>
      </c>
      <c r="H178" s="25">
        <v>0</v>
      </c>
      <c r="I178" s="3">
        <v>0</v>
      </c>
      <c r="J178" s="3">
        <v>0</v>
      </c>
      <c r="K178" s="3">
        <v>0</v>
      </c>
      <c r="L178" s="3">
        <v>0</v>
      </c>
      <c r="M178" s="3">
        <v>1</v>
      </c>
      <c r="N178" s="3">
        <v>0</v>
      </c>
      <c r="O178" s="3">
        <v>1</v>
      </c>
      <c r="P178" s="3">
        <v>0</v>
      </c>
      <c r="Q178" s="3">
        <v>0</v>
      </c>
      <c r="R178" s="3">
        <v>1</v>
      </c>
      <c r="S178" s="3">
        <v>0</v>
      </c>
      <c r="T178" s="6">
        <f t="shared" si="2"/>
        <v>0</v>
      </c>
      <c r="U178" t="s">
        <v>12</v>
      </c>
      <c r="V178" s="6">
        <v>0</v>
      </c>
      <c r="W178" s="6">
        <v>1</v>
      </c>
      <c r="X178" s="6">
        <v>0</v>
      </c>
      <c r="Y178" s="3">
        <v>2</v>
      </c>
      <c r="Z178" s="6">
        <v>1</v>
      </c>
      <c r="AA178" s="3">
        <v>3</v>
      </c>
      <c r="AB178" s="3">
        <v>0</v>
      </c>
      <c r="AC178" s="3">
        <v>2</v>
      </c>
      <c r="AD178" s="22">
        <v>4</v>
      </c>
      <c r="AE178" s="3">
        <v>4</v>
      </c>
      <c r="AF178" s="3">
        <v>1</v>
      </c>
      <c r="AG178" s="6">
        <v>1</v>
      </c>
      <c r="AH178" s="3">
        <v>0</v>
      </c>
      <c r="AI178" s="3">
        <v>1</v>
      </c>
      <c r="AJ178" s="3">
        <v>1</v>
      </c>
      <c r="AK178" s="3">
        <v>0</v>
      </c>
      <c r="AL178" s="3">
        <v>1</v>
      </c>
    </row>
    <row r="179" spans="1:38" x14ac:dyDescent="0.35">
      <c r="A179">
        <v>178</v>
      </c>
      <c r="B179" t="s">
        <v>127</v>
      </c>
      <c r="C179">
        <v>1.81</v>
      </c>
      <c r="D179" t="s">
        <v>124</v>
      </c>
      <c r="E179" t="s">
        <v>115</v>
      </c>
      <c r="F179">
        <v>1</v>
      </c>
      <c r="G179">
        <v>0</v>
      </c>
      <c r="H179" s="25">
        <v>0.75</v>
      </c>
      <c r="I179" s="3">
        <v>0</v>
      </c>
      <c r="J179" s="3">
        <v>1</v>
      </c>
      <c r="K179" s="3">
        <v>1</v>
      </c>
      <c r="L179" s="3">
        <v>1</v>
      </c>
      <c r="M179" s="3">
        <v>0</v>
      </c>
      <c r="N179" s="3">
        <v>0</v>
      </c>
      <c r="O179" s="3">
        <v>1</v>
      </c>
      <c r="P179" s="3">
        <v>0</v>
      </c>
      <c r="Q179" s="3">
        <v>0</v>
      </c>
      <c r="R179" s="3">
        <v>0</v>
      </c>
      <c r="S179" s="3">
        <v>1</v>
      </c>
      <c r="T179" s="6">
        <f t="shared" si="2"/>
        <v>0</v>
      </c>
      <c r="U179" t="s">
        <v>133</v>
      </c>
      <c r="V179" s="6">
        <v>0</v>
      </c>
      <c r="W179" s="6">
        <v>0</v>
      </c>
      <c r="X179" s="6">
        <v>0</v>
      </c>
      <c r="Y179" s="3">
        <v>5</v>
      </c>
      <c r="Z179" s="6">
        <v>1</v>
      </c>
      <c r="AA179" s="3">
        <v>21</v>
      </c>
      <c r="AB179" s="3">
        <v>0</v>
      </c>
      <c r="AC179" s="3">
        <v>2</v>
      </c>
      <c r="AD179" s="22">
        <v>4</v>
      </c>
      <c r="AE179" s="3">
        <v>4</v>
      </c>
      <c r="AF179" s="3">
        <v>0</v>
      </c>
      <c r="AG179" s="6">
        <v>2</v>
      </c>
      <c r="AH179" s="3">
        <v>0</v>
      </c>
      <c r="AI179" s="3">
        <v>1</v>
      </c>
      <c r="AJ179" s="3">
        <v>2</v>
      </c>
      <c r="AK179" s="3">
        <v>0</v>
      </c>
      <c r="AL179" s="3">
        <v>2</v>
      </c>
    </row>
    <row r="180" spans="1:38" x14ac:dyDescent="0.35">
      <c r="A180">
        <v>179</v>
      </c>
      <c r="B180" t="s">
        <v>70</v>
      </c>
      <c r="C180">
        <v>-0.04</v>
      </c>
      <c r="D180" t="s">
        <v>150</v>
      </c>
      <c r="E180" t="s">
        <v>115</v>
      </c>
      <c r="F180">
        <v>1</v>
      </c>
      <c r="G180">
        <v>0</v>
      </c>
      <c r="H180" s="25">
        <v>0.25</v>
      </c>
      <c r="I180" s="3">
        <v>0</v>
      </c>
      <c r="J180" s="3">
        <v>0</v>
      </c>
      <c r="K180" s="3">
        <v>0</v>
      </c>
      <c r="L180" s="3">
        <v>0</v>
      </c>
      <c r="M180" s="3">
        <v>1</v>
      </c>
      <c r="N180" s="3">
        <v>0</v>
      </c>
      <c r="O180" s="3">
        <v>0</v>
      </c>
      <c r="P180" s="3">
        <v>0</v>
      </c>
      <c r="Q180" s="3">
        <v>0</v>
      </c>
      <c r="R180" s="3">
        <v>1</v>
      </c>
      <c r="S180" s="3">
        <v>1</v>
      </c>
      <c r="T180" s="6">
        <f t="shared" si="2"/>
        <v>0</v>
      </c>
      <c r="U180" t="s">
        <v>12</v>
      </c>
      <c r="V180" s="6">
        <v>0</v>
      </c>
      <c r="W180" s="6">
        <v>0</v>
      </c>
      <c r="X180" s="6">
        <v>0</v>
      </c>
      <c r="Y180" s="3">
        <v>4</v>
      </c>
      <c r="Z180" s="6">
        <v>2</v>
      </c>
      <c r="AA180" s="3">
        <v>60</v>
      </c>
      <c r="AB180" s="3">
        <v>0</v>
      </c>
      <c r="AC180" s="3">
        <v>4</v>
      </c>
      <c r="AD180" s="22">
        <v>4</v>
      </c>
      <c r="AE180" s="3">
        <v>3</v>
      </c>
      <c r="AF180" s="3">
        <v>0</v>
      </c>
      <c r="AG180" s="6">
        <v>2</v>
      </c>
      <c r="AH180" s="3">
        <v>3</v>
      </c>
      <c r="AI180" s="3">
        <v>1</v>
      </c>
      <c r="AJ180" s="3">
        <v>1</v>
      </c>
      <c r="AK180" s="3">
        <v>1</v>
      </c>
      <c r="AL180" s="3">
        <v>2</v>
      </c>
    </row>
    <row r="181" spans="1:38" s="14" customFormat="1" x14ac:dyDescent="0.35">
      <c r="A181" s="14">
        <v>180</v>
      </c>
      <c r="B181" s="14" t="s">
        <v>161</v>
      </c>
      <c r="C181" s="14">
        <v>1.47</v>
      </c>
      <c r="D181" s="14" t="s">
        <v>151</v>
      </c>
      <c r="E181" s="14" t="s">
        <v>118</v>
      </c>
      <c r="F181" s="14">
        <v>1</v>
      </c>
      <c r="G181" s="14">
        <v>0</v>
      </c>
      <c r="H181" s="17">
        <v>0</v>
      </c>
      <c r="I181" s="6">
        <v>0</v>
      </c>
      <c r="J181" s="6">
        <v>0</v>
      </c>
      <c r="K181" s="6">
        <v>0</v>
      </c>
      <c r="L181" s="6">
        <v>0</v>
      </c>
      <c r="M181" s="6">
        <v>1</v>
      </c>
      <c r="N181" s="6">
        <v>0</v>
      </c>
      <c r="O181" s="6">
        <v>1</v>
      </c>
      <c r="P181" s="6">
        <v>0</v>
      </c>
      <c r="Q181" s="6">
        <v>0</v>
      </c>
      <c r="R181" s="6">
        <v>0</v>
      </c>
      <c r="S181" s="6">
        <v>0</v>
      </c>
      <c r="T181" s="6">
        <f t="shared" si="2"/>
        <v>0</v>
      </c>
      <c r="U181" s="14" t="s">
        <v>12</v>
      </c>
      <c r="V181" s="6">
        <v>0</v>
      </c>
      <c r="W181" s="6">
        <v>3</v>
      </c>
      <c r="X181" s="6">
        <v>3</v>
      </c>
      <c r="Y181" s="6">
        <v>1</v>
      </c>
      <c r="Z181" s="6">
        <v>4</v>
      </c>
      <c r="AA181" s="6">
        <v>14</v>
      </c>
      <c r="AB181" s="6">
        <v>7</v>
      </c>
      <c r="AC181" s="6">
        <v>5</v>
      </c>
      <c r="AD181" s="22">
        <v>3</v>
      </c>
      <c r="AE181" s="6">
        <v>4</v>
      </c>
      <c r="AF181" s="6">
        <v>2</v>
      </c>
      <c r="AG181" s="6">
        <v>7</v>
      </c>
      <c r="AH181" s="6">
        <v>1</v>
      </c>
      <c r="AI181" s="6">
        <v>3</v>
      </c>
      <c r="AJ181" s="6">
        <v>2</v>
      </c>
      <c r="AK181" s="6">
        <v>2</v>
      </c>
      <c r="AL181" s="6">
        <v>3</v>
      </c>
    </row>
    <row r="182" spans="1:38" x14ac:dyDescent="0.35">
      <c r="A182">
        <v>181</v>
      </c>
      <c r="B182" t="s">
        <v>70</v>
      </c>
      <c r="C182">
        <v>-0.04</v>
      </c>
      <c r="D182" t="s">
        <v>150</v>
      </c>
      <c r="E182" t="s">
        <v>115</v>
      </c>
      <c r="F182">
        <v>0</v>
      </c>
      <c r="G182">
        <v>0</v>
      </c>
      <c r="H182" s="25">
        <v>0.5</v>
      </c>
      <c r="I182" s="3">
        <v>0</v>
      </c>
      <c r="J182" s="3">
        <v>0</v>
      </c>
      <c r="K182" s="3">
        <v>0</v>
      </c>
      <c r="L182" s="3">
        <v>0</v>
      </c>
      <c r="M182" s="3">
        <v>1</v>
      </c>
      <c r="N182" s="3">
        <v>0</v>
      </c>
      <c r="O182" s="3">
        <v>1</v>
      </c>
      <c r="P182" s="3">
        <v>0</v>
      </c>
      <c r="Q182" s="3">
        <v>0</v>
      </c>
      <c r="R182" s="3">
        <v>1</v>
      </c>
      <c r="S182" s="6">
        <v>0</v>
      </c>
      <c r="T182" s="6">
        <f t="shared" si="2"/>
        <v>0</v>
      </c>
      <c r="U182" t="s">
        <v>12</v>
      </c>
      <c r="V182" s="6">
        <v>0</v>
      </c>
      <c r="W182" s="6">
        <v>0</v>
      </c>
      <c r="X182" s="6">
        <v>0</v>
      </c>
      <c r="Y182" s="3">
        <v>2</v>
      </c>
      <c r="Z182" s="6">
        <v>4</v>
      </c>
      <c r="AA182" s="3">
        <v>60</v>
      </c>
      <c r="AB182" s="3">
        <v>2</v>
      </c>
      <c r="AC182" s="3">
        <v>5</v>
      </c>
      <c r="AD182" s="22">
        <v>2</v>
      </c>
      <c r="AE182" s="3">
        <v>1</v>
      </c>
      <c r="AF182" s="3">
        <v>0</v>
      </c>
      <c r="AG182" s="6">
        <v>0</v>
      </c>
      <c r="AH182" s="3">
        <v>0</v>
      </c>
      <c r="AI182" s="3">
        <v>1</v>
      </c>
      <c r="AJ182" s="3">
        <v>1</v>
      </c>
      <c r="AK182" s="3"/>
      <c r="AL182" s="3">
        <v>1</v>
      </c>
    </row>
    <row r="183" spans="1:38" x14ac:dyDescent="0.35">
      <c r="A183">
        <v>182</v>
      </c>
      <c r="B183" t="s">
        <v>70</v>
      </c>
      <c r="C183">
        <v>-0.04</v>
      </c>
      <c r="D183" t="s">
        <v>150</v>
      </c>
      <c r="E183" t="s">
        <v>115</v>
      </c>
      <c r="F183">
        <v>1</v>
      </c>
      <c r="G183">
        <v>0</v>
      </c>
      <c r="H183" s="25">
        <v>0.25</v>
      </c>
      <c r="I183" s="3">
        <v>0</v>
      </c>
      <c r="J183" s="3">
        <v>1</v>
      </c>
      <c r="K183" s="3">
        <v>0</v>
      </c>
      <c r="L183" s="3">
        <v>0</v>
      </c>
      <c r="M183" s="3">
        <v>0</v>
      </c>
      <c r="N183" s="3">
        <v>0</v>
      </c>
      <c r="O183" s="3">
        <v>1</v>
      </c>
      <c r="P183" s="3">
        <v>0</v>
      </c>
      <c r="Q183" s="3">
        <v>0</v>
      </c>
      <c r="R183" s="3">
        <v>0</v>
      </c>
      <c r="S183" s="6">
        <v>0</v>
      </c>
      <c r="T183" s="6">
        <f t="shared" si="2"/>
        <v>0</v>
      </c>
      <c r="U183" t="s">
        <v>133</v>
      </c>
      <c r="V183" s="6">
        <v>0</v>
      </c>
      <c r="W183" s="6">
        <v>0</v>
      </c>
      <c r="X183" s="6">
        <v>0</v>
      </c>
      <c r="Y183" s="3">
        <v>1</v>
      </c>
      <c r="Z183" s="6">
        <v>2</v>
      </c>
      <c r="AA183" s="3">
        <v>103</v>
      </c>
      <c r="AB183" s="3">
        <v>1</v>
      </c>
      <c r="AC183" s="3">
        <v>4</v>
      </c>
      <c r="AD183" s="22">
        <v>3</v>
      </c>
      <c r="AE183" s="3">
        <v>3</v>
      </c>
      <c r="AF183" s="3">
        <v>3</v>
      </c>
      <c r="AG183" s="6">
        <v>0</v>
      </c>
      <c r="AH183" s="3">
        <v>1</v>
      </c>
      <c r="AI183" s="3">
        <v>1</v>
      </c>
      <c r="AJ183" s="3">
        <v>1</v>
      </c>
      <c r="AK183" s="3">
        <v>1</v>
      </c>
      <c r="AL183" s="3">
        <v>2</v>
      </c>
    </row>
    <row r="184" spans="1:38" x14ac:dyDescent="0.35">
      <c r="A184">
        <v>183</v>
      </c>
      <c r="B184" t="s">
        <v>66</v>
      </c>
      <c r="C184">
        <v>1.61</v>
      </c>
      <c r="D184" t="s">
        <v>150</v>
      </c>
      <c r="E184" t="s">
        <v>115</v>
      </c>
      <c r="F184">
        <v>0</v>
      </c>
      <c r="G184">
        <v>0</v>
      </c>
      <c r="H184" s="25">
        <v>0</v>
      </c>
      <c r="I184" s="3">
        <v>0</v>
      </c>
      <c r="J184" s="3">
        <v>0</v>
      </c>
      <c r="K184" s="3">
        <v>0</v>
      </c>
      <c r="L184" s="3">
        <v>0</v>
      </c>
      <c r="M184" s="3">
        <v>0</v>
      </c>
      <c r="N184" s="3">
        <v>0</v>
      </c>
      <c r="O184" s="3">
        <v>1</v>
      </c>
      <c r="P184" s="3">
        <v>0</v>
      </c>
      <c r="Q184" s="3">
        <v>0</v>
      </c>
      <c r="R184" s="3">
        <v>0</v>
      </c>
      <c r="S184" s="6">
        <v>0</v>
      </c>
      <c r="T184" s="6">
        <f t="shared" si="2"/>
        <v>0</v>
      </c>
      <c r="U184" t="s">
        <v>42</v>
      </c>
      <c r="V184" s="6">
        <v>2</v>
      </c>
      <c r="W184" s="6">
        <v>1</v>
      </c>
      <c r="X184" s="6">
        <v>0</v>
      </c>
      <c r="Y184" s="3">
        <v>4</v>
      </c>
      <c r="Z184" s="6">
        <v>1</v>
      </c>
      <c r="AA184" s="3">
        <v>6</v>
      </c>
      <c r="AB184" s="3">
        <v>0</v>
      </c>
      <c r="AC184" s="3">
        <v>2</v>
      </c>
      <c r="AD184" s="22">
        <v>4</v>
      </c>
      <c r="AE184" s="3">
        <v>1</v>
      </c>
      <c r="AF184" s="3">
        <v>2</v>
      </c>
      <c r="AG184" s="6">
        <v>1</v>
      </c>
      <c r="AH184" s="3">
        <v>1</v>
      </c>
      <c r="AI184" s="3">
        <v>2</v>
      </c>
      <c r="AJ184" s="3">
        <v>2</v>
      </c>
      <c r="AK184" s="3">
        <v>0</v>
      </c>
      <c r="AL184" s="3">
        <v>2</v>
      </c>
    </row>
    <row r="185" spans="1:38" x14ac:dyDescent="0.35">
      <c r="A185">
        <v>184</v>
      </c>
      <c r="B185" t="s">
        <v>127</v>
      </c>
      <c r="C185">
        <v>1.81</v>
      </c>
      <c r="D185" t="s">
        <v>124</v>
      </c>
      <c r="E185" t="s">
        <v>117</v>
      </c>
      <c r="F185">
        <v>1</v>
      </c>
      <c r="G185">
        <v>0</v>
      </c>
      <c r="H185" s="25">
        <v>0</v>
      </c>
      <c r="I185" s="3">
        <v>0</v>
      </c>
      <c r="J185" s="3">
        <v>0</v>
      </c>
      <c r="K185" s="3">
        <v>0</v>
      </c>
      <c r="L185" s="3">
        <v>0</v>
      </c>
      <c r="M185" s="3">
        <v>0</v>
      </c>
      <c r="N185" s="3">
        <v>0</v>
      </c>
      <c r="O185" s="3">
        <v>0</v>
      </c>
      <c r="P185" s="3">
        <v>0</v>
      </c>
      <c r="Q185" s="3">
        <v>0</v>
      </c>
      <c r="R185" s="3">
        <v>0</v>
      </c>
      <c r="S185" s="3">
        <v>1</v>
      </c>
      <c r="T185" s="6">
        <f t="shared" si="2"/>
        <v>0</v>
      </c>
      <c r="U185" t="s">
        <v>42</v>
      </c>
      <c r="V185" s="6">
        <v>0</v>
      </c>
      <c r="W185" s="6">
        <v>0</v>
      </c>
      <c r="X185" s="6">
        <v>0</v>
      </c>
      <c r="Y185" s="3">
        <v>2</v>
      </c>
      <c r="AA185" s="3">
        <v>55</v>
      </c>
      <c r="AB185" s="3">
        <v>0</v>
      </c>
      <c r="AC185" s="3">
        <v>5</v>
      </c>
      <c r="AD185" s="6">
        <v>3</v>
      </c>
      <c r="AE185" s="3">
        <v>2</v>
      </c>
      <c r="AF185" s="3">
        <v>3</v>
      </c>
      <c r="AG185" s="6">
        <v>2</v>
      </c>
      <c r="AH185" s="3">
        <v>0</v>
      </c>
      <c r="AI185" s="3">
        <v>1</v>
      </c>
      <c r="AJ185" s="3">
        <v>1</v>
      </c>
      <c r="AK185" s="3"/>
      <c r="AL185" s="3">
        <v>3</v>
      </c>
    </row>
    <row r="186" spans="1:38" x14ac:dyDescent="0.35">
      <c r="A186">
        <v>185</v>
      </c>
      <c r="B186" t="s">
        <v>127</v>
      </c>
      <c r="C186">
        <v>1.81</v>
      </c>
      <c r="D186" t="s">
        <v>124</v>
      </c>
      <c r="E186" t="s">
        <v>117</v>
      </c>
      <c r="F186">
        <v>1</v>
      </c>
      <c r="G186">
        <v>0</v>
      </c>
      <c r="H186" s="25">
        <v>0.5</v>
      </c>
      <c r="I186" s="3">
        <v>0</v>
      </c>
      <c r="J186" s="3">
        <v>1</v>
      </c>
      <c r="K186" s="3">
        <v>1</v>
      </c>
      <c r="L186" s="3">
        <v>1</v>
      </c>
      <c r="M186" s="3">
        <v>1</v>
      </c>
      <c r="N186" s="3">
        <v>0</v>
      </c>
      <c r="O186" s="3">
        <v>1</v>
      </c>
      <c r="P186" s="3">
        <v>0</v>
      </c>
      <c r="Q186" s="3">
        <v>0</v>
      </c>
      <c r="R186" s="3">
        <v>0</v>
      </c>
      <c r="S186" s="3">
        <v>1</v>
      </c>
      <c r="T186" s="6">
        <f t="shared" si="2"/>
        <v>0</v>
      </c>
      <c r="U186" t="s">
        <v>106</v>
      </c>
      <c r="V186" s="6">
        <v>0</v>
      </c>
      <c r="W186" s="6">
        <v>0</v>
      </c>
      <c r="X186" s="6">
        <v>0</v>
      </c>
      <c r="Y186" s="3">
        <v>3</v>
      </c>
      <c r="Z186" s="6">
        <v>1</v>
      </c>
      <c r="AA186" s="3">
        <v>7</v>
      </c>
      <c r="AB186" s="3">
        <v>2</v>
      </c>
      <c r="AC186" s="3">
        <v>4</v>
      </c>
      <c r="AD186" s="22">
        <v>1</v>
      </c>
      <c r="AE186" s="3">
        <v>4</v>
      </c>
      <c r="AF186" s="3">
        <v>1</v>
      </c>
      <c r="AG186" s="6">
        <v>0</v>
      </c>
      <c r="AH186" s="3">
        <v>0</v>
      </c>
      <c r="AI186" s="3">
        <v>1</v>
      </c>
      <c r="AJ186" s="3">
        <v>2</v>
      </c>
      <c r="AK186" s="3">
        <v>1</v>
      </c>
      <c r="AL186" s="3">
        <v>1</v>
      </c>
    </row>
    <row r="187" spans="1:38" s="14" customFormat="1" x14ac:dyDescent="0.35">
      <c r="A187" s="14">
        <v>186</v>
      </c>
      <c r="B187" s="14" t="s">
        <v>64</v>
      </c>
      <c r="C187" s="14">
        <v>1.42</v>
      </c>
      <c r="D187" s="14" t="s">
        <v>150</v>
      </c>
      <c r="E187" s="14" t="s">
        <v>115</v>
      </c>
      <c r="F187" s="14">
        <v>1</v>
      </c>
      <c r="G187" s="14">
        <v>0</v>
      </c>
      <c r="H187" s="17">
        <v>0.25</v>
      </c>
      <c r="I187" s="6">
        <v>0</v>
      </c>
      <c r="J187" s="6">
        <v>1</v>
      </c>
      <c r="K187" s="6">
        <v>0</v>
      </c>
      <c r="L187" s="6">
        <v>0</v>
      </c>
      <c r="M187" s="6">
        <v>1</v>
      </c>
      <c r="N187" s="6">
        <v>0</v>
      </c>
      <c r="O187" s="6">
        <v>1</v>
      </c>
      <c r="P187" s="6">
        <v>0</v>
      </c>
      <c r="Q187" s="6">
        <v>0</v>
      </c>
      <c r="R187" s="6">
        <v>1</v>
      </c>
      <c r="S187" s="6">
        <v>0</v>
      </c>
      <c r="T187" s="6">
        <f t="shared" si="2"/>
        <v>0</v>
      </c>
      <c r="U187" s="14" t="s">
        <v>102</v>
      </c>
      <c r="V187" s="6">
        <v>0</v>
      </c>
      <c r="W187" s="6">
        <v>2</v>
      </c>
      <c r="X187" s="6">
        <v>2</v>
      </c>
      <c r="Y187" s="6">
        <v>2</v>
      </c>
      <c r="Z187" s="6">
        <v>2</v>
      </c>
      <c r="AA187" s="6">
        <v>6</v>
      </c>
      <c r="AB187" s="6">
        <v>0</v>
      </c>
      <c r="AC187" s="6">
        <v>2</v>
      </c>
      <c r="AD187" s="22">
        <v>3</v>
      </c>
      <c r="AE187" s="6">
        <v>2</v>
      </c>
      <c r="AF187" s="6">
        <v>0</v>
      </c>
      <c r="AG187" s="6">
        <v>0</v>
      </c>
      <c r="AH187" s="6">
        <v>1</v>
      </c>
      <c r="AI187" s="6">
        <v>1</v>
      </c>
      <c r="AJ187" s="6">
        <v>1</v>
      </c>
      <c r="AK187" s="6">
        <v>1</v>
      </c>
      <c r="AL187" s="6">
        <v>2</v>
      </c>
    </row>
    <row r="188" spans="1:38" s="14" customFormat="1" x14ac:dyDescent="0.35">
      <c r="A188" s="14">
        <v>187</v>
      </c>
      <c r="B188" s="14" t="s">
        <v>127</v>
      </c>
      <c r="C188" s="14">
        <v>1.81</v>
      </c>
      <c r="D188" s="14" t="s">
        <v>124</v>
      </c>
      <c r="E188" s="14" t="s">
        <v>118</v>
      </c>
      <c r="F188" s="14">
        <v>1</v>
      </c>
      <c r="G188" s="14">
        <v>0</v>
      </c>
      <c r="H188" s="17">
        <v>1</v>
      </c>
      <c r="I188" s="6">
        <v>0</v>
      </c>
      <c r="J188" s="6">
        <v>0</v>
      </c>
      <c r="K188" s="6">
        <v>0</v>
      </c>
      <c r="L188" s="6">
        <v>0</v>
      </c>
      <c r="M188" s="6">
        <v>1</v>
      </c>
      <c r="N188" s="6">
        <v>0</v>
      </c>
      <c r="O188" s="6">
        <v>1</v>
      </c>
      <c r="P188" s="6">
        <v>0</v>
      </c>
      <c r="Q188" s="6">
        <v>0</v>
      </c>
      <c r="R188" s="6">
        <v>1</v>
      </c>
      <c r="S188" s="6">
        <v>1</v>
      </c>
      <c r="T188" s="6">
        <f t="shared" si="2"/>
        <v>0</v>
      </c>
      <c r="U188" s="14" t="s">
        <v>102</v>
      </c>
      <c r="V188" s="6">
        <v>0</v>
      </c>
      <c r="W188" s="6">
        <v>3</v>
      </c>
      <c r="X188" s="6">
        <v>3</v>
      </c>
      <c r="Y188" s="6">
        <v>2</v>
      </c>
      <c r="Z188" s="6">
        <v>3</v>
      </c>
      <c r="AA188" s="6">
        <v>95</v>
      </c>
      <c r="AB188" s="6">
        <v>0</v>
      </c>
      <c r="AC188" s="6">
        <v>5</v>
      </c>
      <c r="AD188" s="22">
        <v>3</v>
      </c>
      <c r="AE188" s="6">
        <v>4</v>
      </c>
      <c r="AF188" s="6">
        <v>0</v>
      </c>
      <c r="AG188" s="6">
        <v>2</v>
      </c>
      <c r="AH188" s="6">
        <v>0</v>
      </c>
      <c r="AI188" s="6">
        <v>2</v>
      </c>
      <c r="AJ188" s="6">
        <v>2</v>
      </c>
      <c r="AK188" s="6">
        <v>1</v>
      </c>
      <c r="AL188" s="6">
        <v>2</v>
      </c>
    </row>
    <row r="189" spans="1:38" x14ac:dyDescent="0.35">
      <c r="A189">
        <v>188</v>
      </c>
      <c r="B189" t="s">
        <v>70</v>
      </c>
      <c r="C189">
        <v>-0.04</v>
      </c>
      <c r="D189" t="s">
        <v>151</v>
      </c>
      <c r="E189" t="s">
        <v>117</v>
      </c>
      <c r="F189">
        <v>0</v>
      </c>
      <c r="G189">
        <v>0</v>
      </c>
      <c r="H189" s="25">
        <v>0.5</v>
      </c>
      <c r="I189" s="3">
        <v>0</v>
      </c>
      <c r="J189" s="3">
        <v>1</v>
      </c>
      <c r="K189" s="3">
        <v>0</v>
      </c>
      <c r="L189" s="3">
        <v>0</v>
      </c>
      <c r="M189" s="3">
        <v>1</v>
      </c>
      <c r="N189" s="3">
        <v>0</v>
      </c>
      <c r="O189" s="3">
        <v>1</v>
      </c>
      <c r="P189" s="3">
        <v>0</v>
      </c>
      <c r="Q189" s="3">
        <v>1</v>
      </c>
      <c r="R189" s="3">
        <v>0</v>
      </c>
      <c r="S189" s="3">
        <v>1</v>
      </c>
      <c r="T189" s="6">
        <f t="shared" si="2"/>
        <v>0</v>
      </c>
      <c r="U189" t="s">
        <v>133</v>
      </c>
      <c r="V189" s="6">
        <v>0</v>
      </c>
      <c r="W189" s="6">
        <v>1</v>
      </c>
      <c r="X189" s="6">
        <v>1</v>
      </c>
      <c r="Y189" s="3">
        <v>3</v>
      </c>
      <c r="Z189" s="6">
        <v>1</v>
      </c>
      <c r="AA189" s="3">
        <v>60</v>
      </c>
      <c r="AB189" s="3">
        <v>2</v>
      </c>
      <c r="AC189" s="3">
        <v>4</v>
      </c>
      <c r="AD189" s="22">
        <v>3</v>
      </c>
      <c r="AE189" s="3">
        <v>3</v>
      </c>
      <c r="AF189" s="3">
        <v>2</v>
      </c>
      <c r="AG189" s="6">
        <v>1</v>
      </c>
      <c r="AH189" s="3">
        <v>1</v>
      </c>
      <c r="AI189" s="3">
        <v>1</v>
      </c>
      <c r="AJ189" s="3">
        <v>1</v>
      </c>
      <c r="AK189" s="3">
        <v>1</v>
      </c>
      <c r="AL189" s="3">
        <v>2</v>
      </c>
    </row>
    <row r="190" spans="1:38" x14ac:dyDescent="0.35">
      <c r="A190">
        <v>189</v>
      </c>
      <c r="B190" t="s">
        <v>70</v>
      </c>
      <c r="C190">
        <v>-0.04</v>
      </c>
      <c r="D190" t="s">
        <v>150</v>
      </c>
      <c r="E190" t="s">
        <v>117</v>
      </c>
      <c r="F190">
        <v>1</v>
      </c>
      <c r="G190">
        <v>0</v>
      </c>
      <c r="H190" s="25">
        <v>0.25</v>
      </c>
      <c r="I190" s="3">
        <v>0</v>
      </c>
      <c r="J190" s="3">
        <v>1</v>
      </c>
      <c r="K190" s="3">
        <v>0</v>
      </c>
      <c r="L190" s="3">
        <v>0</v>
      </c>
      <c r="M190" s="3">
        <v>1</v>
      </c>
      <c r="N190" s="3">
        <v>0</v>
      </c>
      <c r="O190" s="3">
        <v>0</v>
      </c>
      <c r="P190" s="3">
        <v>0</v>
      </c>
      <c r="Q190" s="3">
        <v>0</v>
      </c>
      <c r="R190" s="3">
        <v>0</v>
      </c>
      <c r="S190" s="3">
        <v>0</v>
      </c>
      <c r="T190" s="6">
        <f t="shared" si="2"/>
        <v>0</v>
      </c>
      <c r="U190" t="s">
        <v>133</v>
      </c>
      <c r="V190" s="6">
        <v>0</v>
      </c>
      <c r="W190" s="6">
        <v>2</v>
      </c>
      <c r="X190" s="6">
        <v>1</v>
      </c>
      <c r="Y190" s="3">
        <v>4</v>
      </c>
      <c r="AA190" s="3">
        <v>97</v>
      </c>
      <c r="AB190" s="3">
        <v>0</v>
      </c>
      <c r="AC190" s="3">
        <v>5</v>
      </c>
      <c r="AD190" s="22">
        <v>4</v>
      </c>
      <c r="AE190" s="3">
        <v>4</v>
      </c>
      <c r="AF190" s="3">
        <v>1</v>
      </c>
      <c r="AG190" s="6">
        <v>2</v>
      </c>
      <c r="AH190" s="3">
        <v>0</v>
      </c>
      <c r="AI190" s="3">
        <v>1</v>
      </c>
      <c r="AJ190" s="3">
        <v>1</v>
      </c>
      <c r="AK190" s="3">
        <v>2</v>
      </c>
      <c r="AL190" s="3">
        <v>2</v>
      </c>
    </row>
    <row r="191" spans="1:38" x14ac:dyDescent="0.35">
      <c r="A191">
        <v>190</v>
      </c>
      <c r="B191" t="s">
        <v>64</v>
      </c>
      <c r="C191">
        <v>1.42</v>
      </c>
      <c r="D191" t="s">
        <v>150</v>
      </c>
      <c r="E191" t="s">
        <v>117</v>
      </c>
      <c r="F191">
        <v>1</v>
      </c>
      <c r="G191">
        <v>0</v>
      </c>
      <c r="H191" s="25">
        <v>0.75</v>
      </c>
      <c r="I191" s="3">
        <v>0</v>
      </c>
      <c r="J191" s="3">
        <v>0</v>
      </c>
      <c r="K191" s="3">
        <v>0</v>
      </c>
      <c r="L191" s="3">
        <v>0</v>
      </c>
      <c r="M191" s="3">
        <v>1</v>
      </c>
      <c r="N191" s="3">
        <v>0</v>
      </c>
      <c r="O191" s="3">
        <v>1</v>
      </c>
      <c r="P191" s="3">
        <v>0</v>
      </c>
      <c r="Q191" s="3">
        <v>1</v>
      </c>
      <c r="R191" s="3">
        <v>0</v>
      </c>
      <c r="S191" s="3">
        <v>0</v>
      </c>
      <c r="T191" s="6">
        <f t="shared" si="2"/>
        <v>0</v>
      </c>
      <c r="U191" t="s">
        <v>12</v>
      </c>
      <c r="V191" s="6">
        <v>0</v>
      </c>
      <c r="W191" s="6">
        <v>2</v>
      </c>
      <c r="X191" s="6">
        <v>2</v>
      </c>
      <c r="Y191" s="3">
        <v>1</v>
      </c>
      <c r="Z191" s="6">
        <v>3</v>
      </c>
      <c r="AA191" s="3">
        <v>1</v>
      </c>
      <c r="AB191" s="3">
        <v>2</v>
      </c>
      <c r="AC191" s="3">
        <v>3</v>
      </c>
      <c r="AD191" s="22">
        <v>4</v>
      </c>
      <c r="AE191" s="3">
        <v>4</v>
      </c>
      <c r="AF191" s="3">
        <v>3</v>
      </c>
      <c r="AG191" s="6">
        <v>4</v>
      </c>
      <c r="AH191" s="3">
        <v>1</v>
      </c>
      <c r="AI191" s="3">
        <v>2</v>
      </c>
      <c r="AJ191" s="3">
        <v>1</v>
      </c>
      <c r="AK191" s="3">
        <v>1</v>
      </c>
      <c r="AL191" s="3">
        <v>0</v>
      </c>
    </row>
    <row r="192" spans="1:38" x14ac:dyDescent="0.35">
      <c r="A192">
        <v>191</v>
      </c>
      <c r="B192" t="s">
        <v>66</v>
      </c>
      <c r="C192">
        <v>1.61</v>
      </c>
      <c r="D192" t="s">
        <v>114</v>
      </c>
      <c r="E192" t="s">
        <v>115</v>
      </c>
      <c r="F192">
        <v>1</v>
      </c>
      <c r="G192">
        <v>0</v>
      </c>
      <c r="H192" s="25">
        <v>0.5</v>
      </c>
      <c r="I192" s="3">
        <v>0</v>
      </c>
      <c r="J192" s="3">
        <v>0</v>
      </c>
      <c r="K192" s="3">
        <v>0</v>
      </c>
      <c r="L192" s="3">
        <v>0</v>
      </c>
      <c r="M192" s="3">
        <v>1</v>
      </c>
      <c r="N192" s="3">
        <v>0</v>
      </c>
      <c r="O192" s="3">
        <v>1</v>
      </c>
      <c r="P192" s="3">
        <v>0</v>
      </c>
      <c r="Q192" s="3">
        <v>0</v>
      </c>
      <c r="R192" s="3">
        <v>1</v>
      </c>
      <c r="S192" s="3">
        <v>0</v>
      </c>
      <c r="T192" s="6">
        <f t="shared" si="2"/>
        <v>0</v>
      </c>
      <c r="U192" s="3" t="s">
        <v>14</v>
      </c>
      <c r="V192" s="6">
        <v>2</v>
      </c>
      <c r="W192" s="6">
        <v>2</v>
      </c>
      <c r="X192" s="6">
        <v>2</v>
      </c>
      <c r="Y192" s="3">
        <v>4</v>
      </c>
      <c r="AA192" s="3">
        <v>7</v>
      </c>
      <c r="AB192" s="3">
        <v>0</v>
      </c>
      <c r="AC192" s="3">
        <v>4</v>
      </c>
      <c r="AD192" s="22">
        <v>3</v>
      </c>
      <c r="AE192" s="3">
        <v>4</v>
      </c>
      <c r="AF192" s="3">
        <v>2</v>
      </c>
      <c r="AG192" s="6">
        <v>1</v>
      </c>
      <c r="AH192" s="3">
        <v>1</v>
      </c>
      <c r="AI192" s="3">
        <v>2</v>
      </c>
      <c r="AJ192" s="3">
        <v>2</v>
      </c>
      <c r="AK192" s="3">
        <v>1</v>
      </c>
      <c r="AL192" s="3">
        <v>2</v>
      </c>
    </row>
    <row r="193" spans="1:38" s="10" customFormat="1" x14ac:dyDescent="0.35">
      <c r="A193" s="10">
        <v>192</v>
      </c>
      <c r="B193" s="10" t="s">
        <v>159</v>
      </c>
      <c r="C193" s="10">
        <v>-0.37</v>
      </c>
      <c r="D193" s="10" t="s">
        <v>114</v>
      </c>
      <c r="E193" s="10" t="s">
        <v>116</v>
      </c>
      <c r="F193">
        <v>1</v>
      </c>
      <c r="G193" s="10">
        <v>1</v>
      </c>
      <c r="H193" s="27">
        <v>0.25</v>
      </c>
      <c r="I193" s="15">
        <v>0</v>
      </c>
      <c r="J193" s="15">
        <v>1</v>
      </c>
      <c r="K193" s="15">
        <v>1</v>
      </c>
      <c r="L193" s="15">
        <v>1</v>
      </c>
      <c r="M193" s="15">
        <v>0</v>
      </c>
      <c r="N193" s="15">
        <v>0</v>
      </c>
      <c r="O193" s="15">
        <v>1</v>
      </c>
      <c r="P193" s="15">
        <v>0</v>
      </c>
      <c r="Q193" s="15">
        <v>0</v>
      </c>
      <c r="R193" s="15">
        <v>0</v>
      </c>
      <c r="S193" s="15">
        <v>1</v>
      </c>
      <c r="T193" s="6">
        <f t="shared" si="2"/>
        <v>0</v>
      </c>
      <c r="U193" s="15" t="s">
        <v>134</v>
      </c>
      <c r="V193" s="20">
        <v>0</v>
      </c>
      <c r="W193" s="6">
        <v>2</v>
      </c>
      <c r="X193" s="20">
        <v>0</v>
      </c>
      <c r="Y193" s="15">
        <v>1</v>
      </c>
      <c r="Z193" s="20">
        <v>3</v>
      </c>
      <c r="AA193" s="15">
        <v>14</v>
      </c>
      <c r="AB193" s="15">
        <v>0</v>
      </c>
      <c r="AC193" s="15">
        <v>5</v>
      </c>
      <c r="AD193" s="22">
        <v>3</v>
      </c>
      <c r="AE193" s="15">
        <v>3</v>
      </c>
      <c r="AF193" s="15">
        <v>2</v>
      </c>
      <c r="AG193" s="20">
        <v>2</v>
      </c>
      <c r="AH193" s="15">
        <v>2</v>
      </c>
      <c r="AI193" s="15">
        <v>3</v>
      </c>
      <c r="AJ193" s="15">
        <v>2</v>
      </c>
      <c r="AK193" s="15">
        <v>1</v>
      </c>
      <c r="AL193" s="15">
        <v>3</v>
      </c>
    </row>
    <row r="194" spans="1:38" x14ac:dyDescent="0.35">
      <c r="A194" s="10">
        <v>193</v>
      </c>
      <c r="B194" s="10" t="s">
        <v>159</v>
      </c>
      <c r="C194" s="10">
        <v>-0.37</v>
      </c>
      <c r="D194" s="10" t="s">
        <v>114</v>
      </c>
      <c r="E194" t="s">
        <v>117</v>
      </c>
      <c r="F194" s="10">
        <v>0</v>
      </c>
      <c r="G194" s="10">
        <v>1</v>
      </c>
      <c r="H194" s="25">
        <v>0.25</v>
      </c>
      <c r="I194" s="3">
        <v>0</v>
      </c>
      <c r="J194" s="3">
        <v>0</v>
      </c>
      <c r="K194" s="3">
        <v>0</v>
      </c>
      <c r="L194" s="3">
        <v>0</v>
      </c>
      <c r="M194" s="3">
        <v>0</v>
      </c>
      <c r="N194" s="3">
        <v>0</v>
      </c>
      <c r="O194" s="3">
        <v>0</v>
      </c>
      <c r="P194" s="3">
        <v>1</v>
      </c>
      <c r="Q194" s="3">
        <v>0</v>
      </c>
      <c r="R194" s="3">
        <v>0</v>
      </c>
      <c r="S194" s="3">
        <v>0</v>
      </c>
      <c r="T194" s="6">
        <f t="shared" ref="T194:T232" si="3">IF(SUM(I194:S194)=0,1,0)</f>
        <v>0</v>
      </c>
      <c r="U194" s="3" t="s">
        <v>42</v>
      </c>
      <c r="V194" s="6">
        <v>0</v>
      </c>
      <c r="W194" s="6">
        <v>0</v>
      </c>
      <c r="X194" s="6">
        <v>0</v>
      </c>
      <c r="Y194" s="3">
        <v>2</v>
      </c>
      <c r="Z194" s="6">
        <v>2</v>
      </c>
      <c r="AA194" s="3">
        <v>7</v>
      </c>
      <c r="AB194" s="3">
        <v>4</v>
      </c>
      <c r="AC194" s="3">
        <v>3</v>
      </c>
      <c r="AD194" s="22">
        <v>3</v>
      </c>
      <c r="AE194" s="3">
        <v>4</v>
      </c>
      <c r="AF194" s="3">
        <v>0</v>
      </c>
      <c r="AG194" s="6">
        <v>1</v>
      </c>
      <c r="AH194" s="3">
        <v>0</v>
      </c>
      <c r="AI194" s="3">
        <v>1</v>
      </c>
      <c r="AJ194" s="3">
        <v>2</v>
      </c>
      <c r="AK194" s="3">
        <v>2</v>
      </c>
      <c r="AL194" s="3">
        <v>3</v>
      </c>
    </row>
    <row r="195" spans="1:38" x14ac:dyDescent="0.35">
      <c r="A195" s="10">
        <v>194</v>
      </c>
      <c r="B195" s="10" t="s">
        <v>159</v>
      </c>
      <c r="C195" s="10">
        <v>-0.37</v>
      </c>
      <c r="D195" s="10" t="s">
        <v>137</v>
      </c>
      <c r="E195" t="s">
        <v>115</v>
      </c>
      <c r="F195">
        <v>1</v>
      </c>
      <c r="G195" s="10">
        <v>1</v>
      </c>
      <c r="H195" s="25">
        <v>1</v>
      </c>
      <c r="I195" s="3">
        <v>0</v>
      </c>
      <c r="J195" s="3">
        <v>0</v>
      </c>
      <c r="K195" s="3">
        <v>0</v>
      </c>
      <c r="L195" s="3">
        <v>0</v>
      </c>
      <c r="M195" s="3">
        <v>1</v>
      </c>
      <c r="N195" s="3">
        <v>0</v>
      </c>
      <c r="O195" s="3">
        <v>1</v>
      </c>
      <c r="P195" s="3">
        <v>0</v>
      </c>
      <c r="Q195" s="3">
        <v>0</v>
      </c>
      <c r="R195" s="3">
        <v>1</v>
      </c>
      <c r="S195" s="3">
        <v>0</v>
      </c>
      <c r="T195" s="6">
        <f t="shared" si="3"/>
        <v>0</v>
      </c>
      <c r="U195" s="3" t="s">
        <v>12</v>
      </c>
      <c r="V195" s="6">
        <v>0</v>
      </c>
      <c r="W195" s="6">
        <v>2</v>
      </c>
      <c r="X195" s="6">
        <v>2</v>
      </c>
      <c r="Y195" s="3">
        <v>1</v>
      </c>
      <c r="Z195" s="6">
        <v>2</v>
      </c>
      <c r="AA195" s="3">
        <v>90</v>
      </c>
      <c r="AB195" s="3">
        <v>0</v>
      </c>
      <c r="AC195" s="3">
        <v>4</v>
      </c>
      <c r="AD195" s="22">
        <v>3</v>
      </c>
      <c r="AE195" s="3">
        <v>3</v>
      </c>
      <c r="AF195" s="3">
        <v>2</v>
      </c>
      <c r="AG195" s="6">
        <v>1</v>
      </c>
      <c r="AH195" s="3">
        <v>3</v>
      </c>
      <c r="AI195" s="3">
        <v>1</v>
      </c>
      <c r="AJ195" s="3">
        <v>2</v>
      </c>
      <c r="AK195" s="3">
        <v>1</v>
      </c>
      <c r="AL195" s="3">
        <v>2</v>
      </c>
    </row>
    <row r="196" spans="1:38" x14ac:dyDescent="0.35">
      <c r="A196" s="10">
        <v>195</v>
      </c>
      <c r="B196" s="10" t="s">
        <v>66</v>
      </c>
      <c r="C196">
        <v>1.61</v>
      </c>
      <c r="D196" s="10" t="s">
        <v>114</v>
      </c>
      <c r="E196" t="s">
        <v>117</v>
      </c>
      <c r="F196">
        <v>1</v>
      </c>
      <c r="G196" s="10">
        <v>1</v>
      </c>
      <c r="H196" s="25">
        <v>1</v>
      </c>
      <c r="I196" s="3">
        <v>0</v>
      </c>
      <c r="J196" s="3">
        <v>1</v>
      </c>
      <c r="K196" s="3">
        <v>0</v>
      </c>
      <c r="L196" s="3">
        <v>0</v>
      </c>
      <c r="M196" s="3">
        <v>1</v>
      </c>
      <c r="N196" s="3">
        <v>0</v>
      </c>
      <c r="O196" s="3">
        <v>1</v>
      </c>
      <c r="P196" s="3">
        <v>1</v>
      </c>
      <c r="Q196" s="3">
        <v>1</v>
      </c>
      <c r="R196" s="3">
        <v>1</v>
      </c>
      <c r="S196" s="3">
        <v>0</v>
      </c>
      <c r="T196" s="6">
        <f t="shared" si="3"/>
        <v>0</v>
      </c>
      <c r="U196" s="3" t="s">
        <v>13</v>
      </c>
      <c r="V196" s="6">
        <v>0</v>
      </c>
      <c r="W196" s="6">
        <v>2</v>
      </c>
      <c r="X196" s="6">
        <v>2</v>
      </c>
      <c r="Y196" s="3">
        <v>9</v>
      </c>
      <c r="Z196" s="6">
        <v>2</v>
      </c>
      <c r="AA196" s="3">
        <v>38</v>
      </c>
      <c r="AB196" s="3">
        <v>0</v>
      </c>
      <c r="AC196" s="3">
        <v>5</v>
      </c>
      <c r="AD196" s="22">
        <v>2</v>
      </c>
      <c r="AE196" s="3">
        <v>4</v>
      </c>
      <c r="AF196" s="3">
        <v>2</v>
      </c>
      <c r="AG196" s="6">
        <v>3</v>
      </c>
      <c r="AH196" s="3">
        <v>0</v>
      </c>
      <c r="AI196" s="3">
        <v>2</v>
      </c>
      <c r="AJ196" s="3">
        <v>2</v>
      </c>
      <c r="AK196" s="3">
        <v>0</v>
      </c>
      <c r="AL196" s="3">
        <v>2</v>
      </c>
    </row>
    <row r="197" spans="1:38" x14ac:dyDescent="0.35">
      <c r="A197" s="10">
        <v>196</v>
      </c>
      <c r="B197" s="10" t="s">
        <v>66</v>
      </c>
      <c r="C197">
        <v>1.61</v>
      </c>
      <c r="D197" s="10" t="s">
        <v>114</v>
      </c>
      <c r="E197" t="s">
        <v>117</v>
      </c>
      <c r="F197" s="10">
        <v>0</v>
      </c>
      <c r="G197">
        <v>0</v>
      </c>
      <c r="H197" s="25">
        <v>0</v>
      </c>
      <c r="I197" s="3">
        <v>0</v>
      </c>
      <c r="J197" s="3">
        <v>0</v>
      </c>
      <c r="K197" s="3">
        <v>0</v>
      </c>
      <c r="L197" s="3">
        <v>0</v>
      </c>
      <c r="M197" s="3">
        <v>0</v>
      </c>
      <c r="N197" s="3">
        <v>0</v>
      </c>
      <c r="O197" s="3">
        <v>0</v>
      </c>
      <c r="P197" s="3">
        <v>0</v>
      </c>
      <c r="Q197" s="3">
        <v>0</v>
      </c>
      <c r="R197" s="3">
        <v>0</v>
      </c>
      <c r="S197" s="3">
        <v>0</v>
      </c>
      <c r="T197" s="6">
        <f t="shared" si="3"/>
        <v>1</v>
      </c>
      <c r="U197" s="3" t="s">
        <v>42</v>
      </c>
      <c r="V197" s="6">
        <v>0</v>
      </c>
      <c r="W197" s="6">
        <v>0</v>
      </c>
      <c r="X197" s="6">
        <v>0</v>
      </c>
      <c r="Y197" s="3">
        <v>2</v>
      </c>
      <c r="Z197" s="6">
        <v>2</v>
      </c>
      <c r="AA197" s="3">
        <v>45</v>
      </c>
      <c r="AB197" s="3">
        <v>0</v>
      </c>
      <c r="AC197" s="3">
        <v>3</v>
      </c>
      <c r="AD197" s="22">
        <v>4</v>
      </c>
      <c r="AE197" s="3">
        <v>3</v>
      </c>
      <c r="AF197" s="3">
        <v>3</v>
      </c>
      <c r="AG197" s="6">
        <v>0</v>
      </c>
      <c r="AH197" s="3">
        <v>2</v>
      </c>
      <c r="AI197" s="3">
        <v>1</v>
      </c>
      <c r="AJ197" s="3">
        <v>0</v>
      </c>
      <c r="AK197" s="3">
        <v>1</v>
      </c>
      <c r="AL197" s="3">
        <v>3</v>
      </c>
    </row>
    <row r="198" spans="1:38" x14ac:dyDescent="0.35">
      <c r="A198" s="10">
        <v>197</v>
      </c>
      <c r="B198" s="10" t="s">
        <v>66</v>
      </c>
      <c r="C198">
        <v>1.61</v>
      </c>
      <c r="D198" s="10" t="s">
        <v>114</v>
      </c>
      <c r="E198" t="s">
        <v>116</v>
      </c>
      <c r="F198">
        <v>1</v>
      </c>
      <c r="G198" s="10">
        <v>1</v>
      </c>
      <c r="H198" s="25">
        <v>0.75</v>
      </c>
      <c r="I198" s="3">
        <v>1</v>
      </c>
      <c r="J198" s="3">
        <v>1</v>
      </c>
      <c r="K198" s="3">
        <v>1</v>
      </c>
      <c r="L198" s="3">
        <v>1</v>
      </c>
      <c r="M198" s="3">
        <v>1</v>
      </c>
      <c r="N198" s="3">
        <v>0</v>
      </c>
      <c r="O198" s="3">
        <v>1</v>
      </c>
      <c r="P198" s="3">
        <v>0</v>
      </c>
      <c r="Q198" s="3">
        <v>0</v>
      </c>
      <c r="R198" s="3">
        <v>1</v>
      </c>
      <c r="S198" s="3">
        <v>0</v>
      </c>
      <c r="T198" s="6">
        <f t="shared" si="3"/>
        <v>0</v>
      </c>
      <c r="U198" s="3" t="s">
        <v>134</v>
      </c>
      <c r="V198" s="6">
        <v>1</v>
      </c>
      <c r="W198" s="6">
        <v>1</v>
      </c>
      <c r="X198" s="6">
        <v>0</v>
      </c>
      <c r="Y198" s="3">
        <v>1</v>
      </c>
      <c r="Z198" s="6">
        <v>2</v>
      </c>
      <c r="AA198" s="3">
        <v>37</v>
      </c>
      <c r="AB198" s="3">
        <v>0</v>
      </c>
      <c r="AC198" s="3">
        <v>4</v>
      </c>
      <c r="AD198" s="22">
        <v>2</v>
      </c>
      <c r="AE198" s="3">
        <v>4</v>
      </c>
      <c r="AF198" s="3">
        <v>0</v>
      </c>
      <c r="AG198" s="6">
        <v>0</v>
      </c>
      <c r="AH198" s="3">
        <v>0</v>
      </c>
      <c r="AI198" s="3">
        <v>3</v>
      </c>
      <c r="AJ198" s="3">
        <v>1</v>
      </c>
      <c r="AK198" s="3">
        <v>1</v>
      </c>
      <c r="AL198" s="3">
        <v>2</v>
      </c>
    </row>
    <row r="199" spans="1:38" x14ac:dyDescent="0.35">
      <c r="A199" s="10">
        <v>198</v>
      </c>
      <c r="B199" s="10" t="s">
        <v>127</v>
      </c>
      <c r="C199">
        <v>1.81</v>
      </c>
      <c r="D199" s="10" t="s">
        <v>151</v>
      </c>
      <c r="E199" t="s">
        <v>117</v>
      </c>
      <c r="F199">
        <v>1</v>
      </c>
      <c r="G199">
        <v>0</v>
      </c>
      <c r="H199" s="25">
        <v>0.5</v>
      </c>
      <c r="I199" s="3">
        <v>0</v>
      </c>
      <c r="J199" s="3">
        <v>0</v>
      </c>
      <c r="K199" s="3">
        <v>1</v>
      </c>
      <c r="L199" s="3">
        <v>1</v>
      </c>
      <c r="M199" s="3">
        <v>0</v>
      </c>
      <c r="N199" s="3">
        <v>0</v>
      </c>
      <c r="O199" s="3">
        <v>0</v>
      </c>
      <c r="P199" s="3">
        <v>0</v>
      </c>
      <c r="Q199" s="3">
        <v>0</v>
      </c>
      <c r="R199" s="3">
        <v>1</v>
      </c>
      <c r="S199" s="3">
        <v>1</v>
      </c>
      <c r="T199" s="6">
        <f t="shared" si="3"/>
        <v>0</v>
      </c>
      <c r="U199" s="3" t="s">
        <v>135</v>
      </c>
      <c r="V199" s="6">
        <v>1</v>
      </c>
      <c r="W199" s="6">
        <v>0</v>
      </c>
      <c r="X199" s="6">
        <v>1</v>
      </c>
      <c r="Y199" s="3">
        <v>1</v>
      </c>
      <c r="Z199" s="6">
        <v>1</v>
      </c>
      <c r="AA199" s="3">
        <v>22</v>
      </c>
      <c r="AB199" s="3">
        <v>1</v>
      </c>
      <c r="AC199" s="3">
        <v>3</v>
      </c>
      <c r="AD199" s="22">
        <v>2</v>
      </c>
      <c r="AE199" s="3">
        <v>3</v>
      </c>
      <c r="AF199" s="3">
        <v>0</v>
      </c>
      <c r="AG199" s="6">
        <v>1</v>
      </c>
      <c r="AH199" s="3">
        <v>0</v>
      </c>
      <c r="AI199" s="3">
        <v>1</v>
      </c>
      <c r="AJ199" s="3">
        <v>1</v>
      </c>
      <c r="AK199" s="3">
        <v>0</v>
      </c>
      <c r="AL199" s="3">
        <v>0</v>
      </c>
    </row>
    <row r="200" spans="1:38" x14ac:dyDescent="0.35">
      <c r="A200" s="10">
        <v>199</v>
      </c>
      <c r="B200" s="10" t="s">
        <v>159</v>
      </c>
      <c r="C200" s="10">
        <v>-0.37</v>
      </c>
      <c r="D200" s="10" t="s">
        <v>114</v>
      </c>
      <c r="E200" t="s">
        <v>118</v>
      </c>
      <c r="F200">
        <v>1</v>
      </c>
      <c r="G200" s="10">
        <v>1</v>
      </c>
      <c r="H200" s="25">
        <v>0</v>
      </c>
      <c r="I200" s="3">
        <v>0</v>
      </c>
      <c r="J200" s="3">
        <v>0</v>
      </c>
      <c r="K200" s="3">
        <v>0</v>
      </c>
      <c r="L200" s="3">
        <v>1</v>
      </c>
      <c r="M200" s="3">
        <v>1</v>
      </c>
      <c r="N200" s="3">
        <v>0</v>
      </c>
      <c r="O200" s="3">
        <v>0</v>
      </c>
      <c r="P200" s="3">
        <v>1</v>
      </c>
      <c r="Q200" s="3">
        <v>0</v>
      </c>
      <c r="R200" s="3">
        <v>0</v>
      </c>
      <c r="S200" s="3">
        <v>0</v>
      </c>
      <c r="T200" s="6">
        <f t="shared" si="3"/>
        <v>0</v>
      </c>
      <c r="U200" s="3" t="s">
        <v>42</v>
      </c>
      <c r="V200" s="6">
        <v>0</v>
      </c>
      <c r="W200" s="6">
        <v>2</v>
      </c>
      <c r="X200" s="6">
        <v>2</v>
      </c>
      <c r="Y200" s="3">
        <v>5</v>
      </c>
      <c r="Z200" s="6">
        <v>4</v>
      </c>
      <c r="AA200" s="3">
        <v>134</v>
      </c>
      <c r="AB200" s="3">
        <v>3</v>
      </c>
      <c r="AC200" s="3">
        <v>5</v>
      </c>
      <c r="AD200" s="22">
        <v>1</v>
      </c>
      <c r="AE200" s="3">
        <v>4</v>
      </c>
      <c r="AF200" s="3">
        <v>1</v>
      </c>
      <c r="AG200" s="6">
        <v>4</v>
      </c>
      <c r="AH200" s="3">
        <v>0</v>
      </c>
      <c r="AI200" s="3">
        <v>2</v>
      </c>
      <c r="AJ200" s="3">
        <v>2</v>
      </c>
      <c r="AK200" s="3">
        <v>0</v>
      </c>
      <c r="AL200" s="3">
        <v>3</v>
      </c>
    </row>
    <row r="201" spans="1:38" x14ac:dyDescent="0.35">
      <c r="A201" s="10">
        <v>200</v>
      </c>
      <c r="B201" s="10" t="s">
        <v>159</v>
      </c>
      <c r="C201" s="10">
        <v>-0.37</v>
      </c>
      <c r="D201" s="10" t="s">
        <v>114</v>
      </c>
      <c r="E201" t="s">
        <v>116</v>
      </c>
      <c r="F201">
        <v>1</v>
      </c>
      <c r="G201" s="10">
        <v>1</v>
      </c>
      <c r="H201" s="25">
        <v>0.25</v>
      </c>
      <c r="I201" s="15">
        <v>0</v>
      </c>
      <c r="J201" s="3">
        <v>0</v>
      </c>
      <c r="K201" s="3">
        <v>0</v>
      </c>
      <c r="L201" s="3">
        <v>0</v>
      </c>
      <c r="M201" s="3">
        <v>0</v>
      </c>
      <c r="N201" s="3">
        <v>0</v>
      </c>
      <c r="O201" s="3">
        <v>1</v>
      </c>
      <c r="P201" s="3">
        <v>0</v>
      </c>
      <c r="Q201" s="3">
        <v>0</v>
      </c>
      <c r="R201" s="3">
        <v>0</v>
      </c>
      <c r="S201" s="3">
        <v>0</v>
      </c>
      <c r="T201" s="6">
        <f t="shared" si="3"/>
        <v>0</v>
      </c>
      <c r="U201" s="3" t="s">
        <v>42</v>
      </c>
      <c r="V201" s="6">
        <v>2</v>
      </c>
      <c r="W201" s="6">
        <v>0</v>
      </c>
      <c r="X201" s="6">
        <v>0</v>
      </c>
      <c r="Y201" s="3">
        <v>1</v>
      </c>
      <c r="Z201" s="6">
        <v>4</v>
      </c>
      <c r="AA201" s="3">
        <v>80</v>
      </c>
      <c r="AB201" s="3">
        <v>0</v>
      </c>
      <c r="AC201" s="3">
        <v>5</v>
      </c>
      <c r="AD201" s="22">
        <v>3</v>
      </c>
      <c r="AE201" s="3">
        <v>4</v>
      </c>
      <c r="AF201" s="3">
        <v>2</v>
      </c>
      <c r="AG201" s="6">
        <v>0</v>
      </c>
      <c r="AH201" s="3">
        <v>0</v>
      </c>
      <c r="AI201" s="3">
        <v>1</v>
      </c>
      <c r="AJ201" s="3">
        <v>2</v>
      </c>
      <c r="AK201" s="3">
        <v>0</v>
      </c>
      <c r="AL201" s="3">
        <v>3</v>
      </c>
    </row>
    <row r="202" spans="1:38" x14ac:dyDescent="0.35">
      <c r="A202" s="10">
        <v>201</v>
      </c>
      <c r="B202" s="10" t="s">
        <v>159</v>
      </c>
      <c r="C202" s="10">
        <v>-0.37</v>
      </c>
      <c r="D202" s="10" t="s">
        <v>114</v>
      </c>
      <c r="E202" t="s">
        <v>118</v>
      </c>
      <c r="F202" s="10">
        <v>0</v>
      </c>
      <c r="G202" s="10">
        <v>1</v>
      </c>
      <c r="H202" s="25">
        <v>0.5</v>
      </c>
      <c r="I202" s="15">
        <v>0</v>
      </c>
      <c r="J202" s="3">
        <v>1</v>
      </c>
      <c r="K202" s="3">
        <v>0</v>
      </c>
      <c r="L202" s="3">
        <v>0</v>
      </c>
      <c r="M202" s="3">
        <v>1</v>
      </c>
      <c r="N202" s="3">
        <v>0</v>
      </c>
      <c r="O202" s="3">
        <v>1</v>
      </c>
      <c r="P202" s="3">
        <v>1</v>
      </c>
      <c r="Q202" s="3">
        <v>0</v>
      </c>
      <c r="R202" s="3">
        <v>1</v>
      </c>
      <c r="S202" s="3">
        <v>0</v>
      </c>
      <c r="T202" s="6">
        <f t="shared" si="3"/>
        <v>0</v>
      </c>
      <c r="U202" s="3" t="s">
        <v>12</v>
      </c>
      <c r="V202" s="6">
        <v>1</v>
      </c>
      <c r="W202" s="6">
        <v>2</v>
      </c>
      <c r="X202" s="6">
        <v>2</v>
      </c>
      <c r="Y202" s="3">
        <v>8</v>
      </c>
      <c r="Z202" s="6">
        <v>3</v>
      </c>
      <c r="AA202" s="3">
        <v>14</v>
      </c>
      <c r="AB202" s="3">
        <v>0</v>
      </c>
      <c r="AC202" s="3">
        <v>5</v>
      </c>
      <c r="AD202" s="22">
        <v>2</v>
      </c>
      <c r="AE202" s="3">
        <v>4</v>
      </c>
      <c r="AF202" s="3">
        <v>2</v>
      </c>
      <c r="AG202" s="6">
        <v>4</v>
      </c>
      <c r="AH202" s="3">
        <v>0</v>
      </c>
      <c r="AI202" s="3">
        <v>2</v>
      </c>
      <c r="AJ202" s="3">
        <v>1</v>
      </c>
      <c r="AK202" s="3">
        <v>1</v>
      </c>
      <c r="AL202" s="3">
        <v>2</v>
      </c>
    </row>
    <row r="203" spans="1:38" x14ac:dyDescent="0.35">
      <c r="A203" s="10">
        <v>202</v>
      </c>
      <c r="B203" s="10" t="s">
        <v>127</v>
      </c>
      <c r="C203">
        <v>1.81</v>
      </c>
      <c r="D203" s="10" t="s">
        <v>124</v>
      </c>
      <c r="E203" t="s">
        <v>117</v>
      </c>
      <c r="F203">
        <v>1</v>
      </c>
      <c r="G203">
        <v>0</v>
      </c>
      <c r="H203" s="25">
        <v>0</v>
      </c>
      <c r="I203" s="15">
        <v>0</v>
      </c>
      <c r="J203" s="3">
        <v>0</v>
      </c>
      <c r="K203" s="3">
        <v>0</v>
      </c>
      <c r="L203" s="3">
        <v>0</v>
      </c>
      <c r="M203" s="3">
        <v>0</v>
      </c>
      <c r="N203" s="3">
        <v>0</v>
      </c>
      <c r="O203" s="3">
        <v>1</v>
      </c>
      <c r="P203" s="3">
        <v>0</v>
      </c>
      <c r="Q203" s="3">
        <v>0</v>
      </c>
      <c r="R203" s="3">
        <v>0</v>
      </c>
      <c r="S203" s="3">
        <v>0</v>
      </c>
      <c r="T203" s="6">
        <f t="shared" si="3"/>
        <v>0</v>
      </c>
      <c r="U203" s="3" t="s">
        <v>42</v>
      </c>
      <c r="V203" s="6">
        <v>0</v>
      </c>
      <c r="W203" s="6">
        <v>0</v>
      </c>
      <c r="X203" s="6">
        <v>0</v>
      </c>
      <c r="Y203" s="3">
        <v>1</v>
      </c>
      <c r="Z203" s="6">
        <v>2</v>
      </c>
      <c r="AA203" s="3">
        <v>52</v>
      </c>
      <c r="AB203" s="3">
        <v>6</v>
      </c>
      <c r="AC203" s="3">
        <v>5</v>
      </c>
      <c r="AD203" s="22">
        <v>4</v>
      </c>
      <c r="AE203" s="3">
        <v>3</v>
      </c>
      <c r="AF203" s="3">
        <v>0</v>
      </c>
      <c r="AG203" s="6">
        <v>0</v>
      </c>
      <c r="AH203" s="3">
        <v>0</v>
      </c>
      <c r="AI203" s="3">
        <v>1</v>
      </c>
      <c r="AJ203" s="3">
        <v>2</v>
      </c>
      <c r="AK203" s="3">
        <v>3</v>
      </c>
      <c r="AL203" s="3">
        <v>2</v>
      </c>
    </row>
    <row r="204" spans="1:38" s="14" customFormat="1" x14ac:dyDescent="0.35">
      <c r="A204" s="28">
        <v>203</v>
      </c>
      <c r="B204" s="28" t="s">
        <v>127</v>
      </c>
      <c r="C204" s="14">
        <v>1.81</v>
      </c>
      <c r="D204" s="28" t="s">
        <v>151</v>
      </c>
      <c r="E204" s="14" t="s">
        <v>117</v>
      </c>
      <c r="F204" s="14">
        <v>1</v>
      </c>
      <c r="G204" s="14">
        <v>0</v>
      </c>
      <c r="H204" s="17">
        <v>0</v>
      </c>
      <c r="I204" s="20">
        <v>0</v>
      </c>
      <c r="J204" s="6">
        <v>0</v>
      </c>
      <c r="K204" s="6">
        <v>0</v>
      </c>
      <c r="L204" s="6">
        <v>0</v>
      </c>
      <c r="M204" s="6">
        <v>0</v>
      </c>
      <c r="N204" s="6">
        <v>0</v>
      </c>
      <c r="O204" s="6">
        <v>0</v>
      </c>
      <c r="P204" s="6">
        <v>0</v>
      </c>
      <c r="Q204" s="6">
        <v>0</v>
      </c>
      <c r="R204" s="6">
        <v>0</v>
      </c>
      <c r="S204" s="6">
        <v>0</v>
      </c>
      <c r="T204" s="6">
        <f t="shared" si="3"/>
        <v>1</v>
      </c>
      <c r="U204" s="6" t="s">
        <v>42</v>
      </c>
      <c r="V204" s="6">
        <v>0</v>
      </c>
      <c r="W204" s="6">
        <v>2</v>
      </c>
      <c r="X204" s="6">
        <v>0</v>
      </c>
      <c r="Y204" s="6">
        <v>3</v>
      </c>
      <c r="Z204" s="6">
        <v>4</v>
      </c>
      <c r="AA204" s="6">
        <v>21</v>
      </c>
      <c r="AB204" s="6">
        <v>6</v>
      </c>
      <c r="AC204" s="6">
        <v>5</v>
      </c>
      <c r="AD204" s="22">
        <v>3</v>
      </c>
      <c r="AE204" s="6">
        <v>4</v>
      </c>
      <c r="AF204" s="6">
        <v>2</v>
      </c>
      <c r="AG204" s="6">
        <v>3</v>
      </c>
      <c r="AH204" s="6">
        <v>2</v>
      </c>
      <c r="AI204" s="6">
        <v>1</v>
      </c>
      <c r="AJ204" s="6">
        <v>1</v>
      </c>
      <c r="AK204" s="6">
        <v>2</v>
      </c>
      <c r="AL204" s="6">
        <v>3</v>
      </c>
    </row>
    <row r="205" spans="1:38" x14ac:dyDescent="0.35">
      <c r="A205" s="10">
        <v>204</v>
      </c>
      <c r="B205" s="10" t="s">
        <v>127</v>
      </c>
      <c r="C205">
        <v>1.81</v>
      </c>
      <c r="D205" s="10" t="s">
        <v>124</v>
      </c>
      <c r="E205" t="s">
        <v>115</v>
      </c>
      <c r="F205">
        <v>1</v>
      </c>
      <c r="G205">
        <v>0</v>
      </c>
      <c r="H205" s="25">
        <v>0</v>
      </c>
      <c r="I205" s="15">
        <v>0</v>
      </c>
      <c r="J205" s="3">
        <v>0</v>
      </c>
      <c r="K205" s="3">
        <v>0</v>
      </c>
      <c r="L205" s="3">
        <v>0</v>
      </c>
      <c r="M205" s="3">
        <v>0</v>
      </c>
      <c r="N205" s="3">
        <v>0</v>
      </c>
      <c r="O205" s="3">
        <v>0</v>
      </c>
      <c r="P205" s="3">
        <v>0</v>
      </c>
      <c r="Q205" s="3">
        <v>0</v>
      </c>
      <c r="R205" s="3">
        <v>0</v>
      </c>
      <c r="S205" s="3">
        <v>0</v>
      </c>
      <c r="T205" s="6">
        <f t="shared" si="3"/>
        <v>1</v>
      </c>
      <c r="U205" s="3" t="s">
        <v>42</v>
      </c>
      <c r="V205" s="6">
        <v>1</v>
      </c>
      <c r="W205" s="6">
        <v>0</v>
      </c>
      <c r="X205" s="6">
        <v>0</v>
      </c>
      <c r="Y205" s="3">
        <v>1</v>
      </c>
      <c r="Z205" s="6">
        <v>2</v>
      </c>
      <c r="AA205" s="3">
        <v>49</v>
      </c>
      <c r="AB205" s="3">
        <v>4</v>
      </c>
      <c r="AC205" s="3">
        <v>5</v>
      </c>
      <c r="AD205" s="22">
        <v>1</v>
      </c>
      <c r="AE205" s="3">
        <v>4</v>
      </c>
      <c r="AF205" s="3">
        <v>3</v>
      </c>
      <c r="AG205" s="6">
        <v>1</v>
      </c>
      <c r="AH205" s="3">
        <v>0</v>
      </c>
      <c r="AI205" s="3">
        <v>1</v>
      </c>
      <c r="AJ205" s="3">
        <v>2</v>
      </c>
      <c r="AK205" s="3">
        <v>0</v>
      </c>
      <c r="AL205" s="3">
        <v>2</v>
      </c>
    </row>
    <row r="206" spans="1:38" s="14" customFormat="1" x14ac:dyDescent="0.35">
      <c r="A206" s="28">
        <v>205</v>
      </c>
      <c r="B206" s="28" t="s">
        <v>70</v>
      </c>
      <c r="C206" s="14">
        <v>-0.04</v>
      </c>
      <c r="D206" s="28" t="s">
        <v>124</v>
      </c>
      <c r="E206" s="14" t="s">
        <v>118</v>
      </c>
      <c r="F206" s="28">
        <v>0</v>
      </c>
      <c r="G206" s="14">
        <v>0</v>
      </c>
      <c r="H206" s="17">
        <v>0.25</v>
      </c>
      <c r="I206" s="20">
        <v>0</v>
      </c>
      <c r="J206" s="6">
        <v>0</v>
      </c>
      <c r="K206" s="6">
        <v>0</v>
      </c>
      <c r="L206" s="6">
        <v>0</v>
      </c>
      <c r="M206" s="6">
        <v>1</v>
      </c>
      <c r="N206" s="6">
        <v>0</v>
      </c>
      <c r="O206" s="6">
        <v>1</v>
      </c>
      <c r="P206" s="6">
        <v>0</v>
      </c>
      <c r="Q206" s="6">
        <v>0</v>
      </c>
      <c r="R206" s="6">
        <v>0</v>
      </c>
      <c r="S206" s="6">
        <v>1</v>
      </c>
      <c r="T206" s="6">
        <f t="shared" si="3"/>
        <v>0</v>
      </c>
      <c r="U206" s="6" t="s">
        <v>102</v>
      </c>
      <c r="V206" s="6">
        <v>0</v>
      </c>
      <c r="W206" s="6">
        <v>1</v>
      </c>
      <c r="X206" s="6">
        <v>1</v>
      </c>
      <c r="Y206" s="6">
        <v>1</v>
      </c>
      <c r="Z206" s="6">
        <v>1</v>
      </c>
      <c r="AA206" s="6">
        <v>12</v>
      </c>
      <c r="AB206" s="6">
        <v>0</v>
      </c>
      <c r="AC206" s="6">
        <v>5</v>
      </c>
      <c r="AD206" s="22">
        <v>3</v>
      </c>
      <c r="AE206" s="6">
        <v>3</v>
      </c>
      <c r="AF206" s="6">
        <v>0</v>
      </c>
      <c r="AG206" s="6">
        <v>2</v>
      </c>
      <c r="AH206" s="6">
        <v>1</v>
      </c>
      <c r="AI206" s="6">
        <v>1</v>
      </c>
      <c r="AJ206" s="6">
        <v>1</v>
      </c>
      <c r="AK206" s="6">
        <v>0</v>
      </c>
      <c r="AL206" s="6">
        <v>1</v>
      </c>
    </row>
    <row r="207" spans="1:38" s="14" customFormat="1" x14ac:dyDescent="0.35">
      <c r="A207" s="28">
        <v>206</v>
      </c>
      <c r="B207" s="28" t="s">
        <v>70</v>
      </c>
      <c r="C207" s="14">
        <v>-0.04</v>
      </c>
      <c r="D207" s="28" t="s">
        <v>150</v>
      </c>
      <c r="E207" s="14" t="s">
        <v>115</v>
      </c>
      <c r="F207" s="14">
        <v>1</v>
      </c>
      <c r="G207" s="14">
        <v>0</v>
      </c>
      <c r="H207" s="17">
        <v>0.25</v>
      </c>
      <c r="I207" s="20">
        <v>0</v>
      </c>
      <c r="J207" s="6">
        <v>0</v>
      </c>
      <c r="K207" s="6">
        <v>0</v>
      </c>
      <c r="L207" s="6">
        <v>0</v>
      </c>
      <c r="M207" s="6">
        <v>0</v>
      </c>
      <c r="N207" s="6">
        <v>0</v>
      </c>
      <c r="O207" s="6">
        <v>1</v>
      </c>
      <c r="P207" s="6">
        <v>0</v>
      </c>
      <c r="Q207" s="6">
        <v>0</v>
      </c>
      <c r="R207" s="6">
        <v>1</v>
      </c>
      <c r="S207" s="6">
        <v>0</v>
      </c>
      <c r="T207" s="6">
        <f t="shared" si="3"/>
        <v>0</v>
      </c>
      <c r="U207" s="6" t="s">
        <v>102</v>
      </c>
      <c r="V207" s="6">
        <v>0</v>
      </c>
      <c r="W207" s="6">
        <v>2</v>
      </c>
      <c r="X207" s="6">
        <v>2</v>
      </c>
      <c r="Y207" s="6">
        <v>1</v>
      </c>
      <c r="Z207" s="6">
        <v>3</v>
      </c>
      <c r="AA207" s="6">
        <v>13</v>
      </c>
      <c r="AB207" s="6">
        <v>0</v>
      </c>
      <c r="AC207" s="6">
        <v>5</v>
      </c>
      <c r="AD207" s="22">
        <v>3</v>
      </c>
      <c r="AE207" s="6">
        <v>2</v>
      </c>
      <c r="AF207" s="6">
        <v>1</v>
      </c>
      <c r="AG207" s="6">
        <v>5</v>
      </c>
      <c r="AH207" s="6">
        <v>1</v>
      </c>
      <c r="AI207" s="6">
        <v>2</v>
      </c>
      <c r="AJ207" s="6">
        <v>2</v>
      </c>
      <c r="AK207" s="6">
        <v>1</v>
      </c>
      <c r="AL207" s="6">
        <v>2</v>
      </c>
    </row>
    <row r="208" spans="1:38" x14ac:dyDescent="0.35">
      <c r="A208" s="10">
        <v>207</v>
      </c>
      <c r="B208" s="10" t="s">
        <v>159</v>
      </c>
      <c r="C208" s="10">
        <v>-0.37</v>
      </c>
      <c r="D208" s="10" t="s">
        <v>151</v>
      </c>
      <c r="E208" t="s">
        <v>117</v>
      </c>
      <c r="F208">
        <v>1</v>
      </c>
      <c r="G208" s="10">
        <v>1</v>
      </c>
      <c r="H208" s="25">
        <v>0.25</v>
      </c>
      <c r="I208" s="15">
        <v>0</v>
      </c>
      <c r="J208" s="3">
        <v>1</v>
      </c>
      <c r="K208" s="3">
        <v>0</v>
      </c>
      <c r="L208" s="3">
        <v>0</v>
      </c>
      <c r="M208" s="3">
        <v>1</v>
      </c>
      <c r="N208" s="3">
        <v>0</v>
      </c>
      <c r="O208" s="3">
        <v>1</v>
      </c>
      <c r="P208" s="3">
        <v>0</v>
      </c>
      <c r="Q208" s="3">
        <v>1</v>
      </c>
      <c r="R208" s="3">
        <v>1</v>
      </c>
      <c r="S208" s="3">
        <v>0</v>
      </c>
      <c r="T208" s="6">
        <f t="shared" si="3"/>
        <v>0</v>
      </c>
      <c r="U208" s="3" t="s">
        <v>133</v>
      </c>
      <c r="V208" s="6">
        <v>2</v>
      </c>
      <c r="W208" s="6">
        <v>3</v>
      </c>
      <c r="X208" s="6">
        <v>3</v>
      </c>
      <c r="Y208" s="3">
        <v>1</v>
      </c>
      <c r="Z208" s="6">
        <v>3</v>
      </c>
      <c r="AA208" s="3">
        <v>14</v>
      </c>
      <c r="AB208" s="3">
        <v>1</v>
      </c>
      <c r="AC208" s="3">
        <v>1</v>
      </c>
      <c r="AD208" s="22">
        <v>4</v>
      </c>
      <c r="AE208" s="3">
        <v>3</v>
      </c>
      <c r="AF208" s="3">
        <v>0</v>
      </c>
      <c r="AG208" s="6">
        <v>0</v>
      </c>
      <c r="AH208" s="3">
        <v>2</v>
      </c>
      <c r="AI208" s="3">
        <v>1</v>
      </c>
      <c r="AJ208" s="3">
        <v>2</v>
      </c>
      <c r="AK208" s="3">
        <v>1</v>
      </c>
      <c r="AL208" s="3">
        <v>3</v>
      </c>
    </row>
    <row r="209" spans="1:38" x14ac:dyDescent="0.35">
      <c r="A209" s="10">
        <v>208</v>
      </c>
      <c r="B209" s="10" t="s">
        <v>127</v>
      </c>
      <c r="C209">
        <v>1.81</v>
      </c>
      <c r="D209" s="10" t="s">
        <v>137</v>
      </c>
      <c r="E209" t="s">
        <v>115</v>
      </c>
      <c r="F209">
        <v>1</v>
      </c>
      <c r="G209">
        <v>0</v>
      </c>
      <c r="H209" s="25">
        <v>0.75</v>
      </c>
      <c r="I209" s="15">
        <v>0</v>
      </c>
      <c r="J209" s="3">
        <v>1</v>
      </c>
      <c r="K209" s="3">
        <v>0</v>
      </c>
      <c r="L209" s="3">
        <v>0</v>
      </c>
      <c r="M209" s="3">
        <v>0</v>
      </c>
      <c r="N209" s="3">
        <v>0</v>
      </c>
      <c r="O209" s="3">
        <v>1</v>
      </c>
      <c r="P209" s="3">
        <v>0</v>
      </c>
      <c r="Q209" s="3">
        <v>0</v>
      </c>
      <c r="R209" s="3">
        <v>0</v>
      </c>
      <c r="S209" s="3">
        <v>1</v>
      </c>
      <c r="T209" s="6">
        <f t="shared" si="3"/>
        <v>0</v>
      </c>
      <c r="U209" s="3" t="s">
        <v>106</v>
      </c>
      <c r="V209" s="6">
        <v>0</v>
      </c>
      <c r="W209" s="6">
        <v>1</v>
      </c>
      <c r="X209" s="6">
        <v>0</v>
      </c>
      <c r="Y209" s="3">
        <v>2</v>
      </c>
      <c r="AA209" s="3">
        <v>12</v>
      </c>
      <c r="AB209" s="3">
        <v>0</v>
      </c>
      <c r="AC209" s="3">
        <v>5</v>
      </c>
      <c r="AD209" s="22">
        <v>3</v>
      </c>
      <c r="AE209" s="3">
        <v>4</v>
      </c>
      <c r="AF209" s="3">
        <v>2</v>
      </c>
      <c r="AG209" s="6">
        <v>1</v>
      </c>
      <c r="AH209" s="3">
        <v>0</v>
      </c>
      <c r="AI209" s="3">
        <v>1</v>
      </c>
      <c r="AJ209" s="3">
        <v>1</v>
      </c>
      <c r="AK209" s="3">
        <v>1</v>
      </c>
      <c r="AL209" s="3">
        <v>2</v>
      </c>
    </row>
    <row r="210" spans="1:38" x14ac:dyDescent="0.35">
      <c r="A210" s="10">
        <v>209</v>
      </c>
      <c r="B210" s="10" t="s">
        <v>159</v>
      </c>
      <c r="C210" s="10">
        <v>-0.37</v>
      </c>
      <c r="D210" s="10" t="s">
        <v>114</v>
      </c>
      <c r="E210" t="s">
        <v>118</v>
      </c>
      <c r="F210">
        <v>1</v>
      </c>
      <c r="G210" s="10">
        <v>1</v>
      </c>
      <c r="H210" s="25">
        <v>0.25</v>
      </c>
      <c r="I210" s="15">
        <v>0</v>
      </c>
      <c r="J210" s="3">
        <v>0</v>
      </c>
      <c r="K210" s="3">
        <v>1</v>
      </c>
      <c r="L210" s="3">
        <v>0</v>
      </c>
      <c r="M210" s="3">
        <v>1</v>
      </c>
      <c r="N210" s="3">
        <v>0</v>
      </c>
      <c r="O210" s="3">
        <v>0</v>
      </c>
      <c r="P210" s="3">
        <v>1</v>
      </c>
      <c r="Q210" s="3">
        <v>0</v>
      </c>
      <c r="R210" s="3">
        <v>1</v>
      </c>
      <c r="S210" s="3">
        <v>0</v>
      </c>
      <c r="T210" s="6">
        <f t="shared" si="3"/>
        <v>0</v>
      </c>
      <c r="U210" s="3" t="s">
        <v>12</v>
      </c>
      <c r="V210" s="6">
        <v>0</v>
      </c>
      <c r="W210" s="6">
        <v>2</v>
      </c>
      <c r="X210" s="6">
        <v>2</v>
      </c>
      <c r="Y210" s="3">
        <v>4</v>
      </c>
      <c r="Z210" s="6">
        <v>4</v>
      </c>
      <c r="AA210" s="3">
        <v>40</v>
      </c>
      <c r="AB210" s="3">
        <v>0</v>
      </c>
      <c r="AC210" s="3">
        <v>3</v>
      </c>
      <c r="AD210" s="6">
        <v>4</v>
      </c>
      <c r="AE210" s="3">
        <v>4</v>
      </c>
      <c r="AF210" s="3">
        <v>2</v>
      </c>
      <c r="AG210" s="6">
        <v>3</v>
      </c>
      <c r="AH210" s="3">
        <v>1</v>
      </c>
      <c r="AI210" s="3">
        <v>2</v>
      </c>
      <c r="AJ210" s="3">
        <v>1</v>
      </c>
      <c r="AK210" s="3">
        <v>3</v>
      </c>
      <c r="AL210" s="3">
        <v>0</v>
      </c>
    </row>
    <row r="211" spans="1:38" x14ac:dyDescent="0.35">
      <c r="A211" s="10">
        <v>210</v>
      </c>
      <c r="B211" t="s">
        <v>66</v>
      </c>
      <c r="C211">
        <v>1.61</v>
      </c>
      <c r="D211" t="s">
        <v>114</v>
      </c>
      <c r="E211" t="s">
        <v>115</v>
      </c>
      <c r="F211">
        <v>0</v>
      </c>
      <c r="G211">
        <v>1</v>
      </c>
      <c r="H211" s="25">
        <v>0.75</v>
      </c>
      <c r="I211" s="15">
        <v>0</v>
      </c>
      <c r="J211" s="3">
        <v>1</v>
      </c>
      <c r="K211" s="3">
        <v>1</v>
      </c>
      <c r="L211" s="3">
        <v>1</v>
      </c>
      <c r="M211" s="3">
        <v>0</v>
      </c>
      <c r="N211" s="3">
        <v>0</v>
      </c>
      <c r="O211" s="3">
        <v>1</v>
      </c>
      <c r="P211" s="3">
        <v>0</v>
      </c>
      <c r="Q211" s="3">
        <v>0</v>
      </c>
      <c r="R211" s="3">
        <v>0</v>
      </c>
      <c r="S211" s="3">
        <v>0</v>
      </c>
      <c r="T211" s="6">
        <f t="shared" si="3"/>
        <v>0</v>
      </c>
      <c r="U211" s="3" t="s">
        <v>133</v>
      </c>
      <c r="V211" s="6">
        <v>0</v>
      </c>
      <c r="W211" s="6">
        <v>0</v>
      </c>
      <c r="X211" s="6">
        <v>0</v>
      </c>
      <c r="Y211" s="3">
        <v>5</v>
      </c>
      <c r="Z211" s="6">
        <v>4</v>
      </c>
      <c r="AA211" s="3">
        <v>9</v>
      </c>
      <c r="AB211" s="3">
        <v>0</v>
      </c>
      <c r="AC211" s="3">
        <v>3</v>
      </c>
      <c r="AD211" s="22">
        <v>3</v>
      </c>
      <c r="AE211" s="3">
        <v>4</v>
      </c>
      <c r="AF211" s="3">
        <v>2</v>
      </c>
      <c r="AG211" s="6">
        <v>0</v>
      </c>
      <c r="AH211" s="3">
        <v>0</v>
      </c>
      <c r="AI211" s="3">
        <v>2</v>
      </c>
      <c r="AJ211" s="3">
        <v>2</v>
      </c>
      <c r="AK211" s="3">
        <v>1</v>
      </c>
      <c r="AL211" s="3">
        <v>1</v>
      </c>
    </row>
    <row r="212" spans="1:38" x14ac:dyDescent="0.35">
      <c r="A212" s="10">
        <v>211</v>
      </c>
      <c r="B212" t="s">
        <v>70</v>
      </c>
      <c r="C212">
        <v>-0.04</v>
      </c>
      <c r="D212" t="s">
        <v>150</v>
      </c>
      <c r="E212" t="s">
        <v>117</v>
      </c>
      <c r="F212">
        <v>0</v>
      </c>
      <c r="G212">
        <v>0</v>
      </c>
      <c r="H212" s="25">
        <v>0.25</v>
      </c>
      <c r="I212" s="15">
        <v>0</v>
      </c>
      <c r="J212" s="3">
        <v>0</v>
      </c>
      <c r="K212" s="3">
        <v>1</v>
      </c>
      <c r="L212" s="3">
        <v>0</v>
      </c>
      <c r="M212" s="3">
        <v>1</v>
      </c>
      <c r="N212" s="3">
        <v>0</v>
      </c>
      <c r="O212" s="3">
        <v>1</v>
      </c>
      <c r="P212" s="3">
        <v>1</v>
      </c>
      <c r="Q212" s="3">
        <v>1</v>
      </c>
      <c r="R212" s="3">
        <v>0</v>
      </c>
      <c r="S212" s="3">
        <v>0</v>
      </c>
      <c r="T212" s="6">
        <f t="shared" si="3"/>
        <v>0</v>
      </c>
      <c r="U212" s="3" t="s">
        <v>134</v>
      </c>
      <c r="V212" s="6">
        <v>0</v>
      </c>
      <c r="W212" s="6">
        <v>0</v>
      </c>
      <c r="X212" s="6">
        <v>0</v>
      </c>
      <c r="Y212" s="3">
        <v>2</v>
      </c>
      <c r="Z212" s="6">
        <v>1</v>
      </c>
      <c r="AA212" s="3">
        <v>17</v>
      </c>
      <c r="AB212" s="3">
        <v>4</v>
      </c>
      <c r="AC212" s="3">
        <v>4</v>
      </c>
      <c r="AD212" s="22">
        <v>3</v>
      </c>
      <c r="AE212" s="3">
        <v>3</v>
      </c>
      <c r="AF212" s="3">
        <v>1</v>
      </c>
      <c r="AG212" s="6">
        <v>0</v>
      </c>
      <c r="AH212" s="3">
        <v>1</v>
      </c>
      <c r="AI212" s="3">
        <v>1</v>
      </c>
      <c r="AJ212" s="3">
        <v>1</v>
      </c>
      <c r="AK212" s="3">
        <v>0</v>
      </c>
      <c r="AL212" s="3"/>
    </row>
    <row r="213" spans="1:38" s="14" customFormat="1" x14ac:dyDescent="0.35">
      <c r="A213" s="28">
        <v>212</v>
      </c>
      <c r="B213" s="14" t="s">
        <v>70</v>
      </c>
      <c r="C213" s="14">
        <v>-0.04</v>
      </c>
      <c r="D213" s="14" t="s">
        <v>150</v>
      </c>
      <c r="E213" s="14" t="s">
        <v>115</v>
      </c>
      <c r="F213" s="14">
        <v>1</v>
      </c>
      <c r="G213" s="14">
        <v>0</v>
      </c>
      <c r="H213" s="17">
        <v>0.25</v>
      </c>
      <c r="I213" s="6">
        <v>0</v>
      </c>
      <c r="J213" s="6">
        <v>0</v>
      </c>
      <c r="K213" s="6">
        <v>0</v>
      </c>
      <c r="L213" s="6">
        <v>0</v>
      </c>
      <c r="M213" s="6">
        <v>1</v>
      </c>
      <c r="N213" s="6">
        <v>0</v>
      </c>
      <c r="O213" s="6">
        <v>1</v>
      </c>
      <c r="P213" s="6">
        <v>0</v>
      </c>
      <c r="Q213" s="6">
        <v>0</v>
      </c>
      <c r="R213" s="6">
        <v>1</v>
      </c>
      <c r="S213" s="6">
        <v>1</v>
      </c>
      <c r="T213" s="6">
        <f t="shared" si="3"/>
        <v>0</v>
      </c>
      <c r="U213" s="6" t="s">
        <v>102</v>
      </c>
      <c r="V213" s="6">
        <v>0</v>
      </c>
      <c r="W213" s="6">
        <v>1</v>
      </c>
      <c r="X213" s="6">
        <v>1</v>
      </c>
      <c r="Y213" s="6">
        <v>1</v>
      </c>
      <c r="Z213" s="6">
        <v>3</v>
      </c>
      <c r="AA213" s="6">
        <v>98</v>
      </c>
      <c r="AB213" s="6">
        <v>0</v>
      </c>
      <c r="AC213" s="6">
        <v>3</v>
      </c>
      <c r="AD213" s="22">
        <v>4</v>
      </c>
      <c r="AE213" s="6">
        <v>2</v>
      </c>
      <c r="AF213" s="6">
        <v>2</v>
      </c>
      <c r="AG213" s="6">
        <v>1</v>
      </c>
      <c r="AH213" s="6">
        <v>0</v>
      </c>
      <c r="AI213" s="6">
        <v>1</v>
      </c>
      <c r="AJ213" s="6">
        <v>1</v>
      </c>
      <c r="AK213" s="6">
        <v>1</v>
      </c>
      <c r="AL213" s="6">
        <v>2</v>
      </c>
    </row>
    <row r="214" spans="1:38" x14ac:dyDescent="0.35">
      <c r="A214" s="10">
        <v>213</v>
      </c>
      <c r="B214" t="s">
        <v>70</v>
      </c>
      <c r="C214">
        <v>-0.04</v>
      </c>
      <c r="D214" t="s">
        <v>150</v>
      </c>
      <c r="E214" t="s">
        <v>115</v>
      </c>
      <c r="F214">
        <v>1</v>
      </c>
      <c r="G214">
        <v>0</v>
      </c>
      <c r="H214" s="25">
        <v>0.25</v>
      </c>
      <c r="I214" s="3">
        <v>0</v>
      </c>
      <c r="J214" s="3">
        <v>0</v>
      </c>
      <c r="K214" s="3">
        <v>0</v>
      </c>
      <c r="L214" s="3">
        <v>0</v>
      </c>
      <c r="M214" s="3">
        <v>0</v>
      </c>
      <c r="N214" s="3">
        <v>0</v>
      </c>
      <c r="O214" s="3">
        <v>0</v>
      </c>
      <c r="P214" s="3">
        <v>0</v>
      </c>
      <c r="Q214" s="3">
        <v>0</v>
      </c>
      <c r="R214" s="3">
        <v>0</v>
      </c>
      <c r="S214" s="3">
        <v>0</v>
      </c>
      <c r="T214" s="6">
        <f t="shared" si="3"/>
        <v>1</v>
      </c>
      <c r="U214" s="3" t="s">
        <v>42</v>
      </c>
      <c r="V214" s="6">
        <v>0</v>
      </c>
      <c r="W214" s="6">
        <v>1</v>
      </c>
      <c r="X214" s="6">
        <v>2</v>
      </c>
      <c r="Y214" s="3">
        <v>1</v>
      </c>
      <c r="Z214" s="6">
        <v>2</v>
      </c>
      <c r="AA214" s="3">
        <v>60</v>
      </c>
      <c r="AB214" s="3">
        <v>0</v>
      </c>
      <c r="AC214" s="3">
        <v>4</v>
      </c>
      <c r="AD214" s="22">
        <v>3</v>
      </c>
      <c r="AE214" s="3">
        <v>3</v>
      </c>
      <c r="AF214" s="3">
        <v>1</v>
      </c>
      <c r="AG214" s="6">
        <v>1</v>
      </c>
      <c r="AH214" s="3">
        <v>0</v>
      </c>
      <c r="AI214" s="3">
        <v>1</v>
      </c>
      <c r="AJ214" s="3">
        <v>2</v>
      </c>
      <c r="AK214" s="3">
        <v>1</v>
      </c>
      <c r="AL214" s="3">
        <v>3</v>
      </c>
    </row>
    <row r="215" spans="1:38" x14ac:dyDescent="0.35">
      <c r="A215" s="10">
        <v>214</v>
      </c>
      <c r="B215" t="s">
        <v>70</v>
      </c>
      <c r="C215">
        <v>-0.04</v>
      </c>
      <c r="D215" t="s">
        <v>125</v>
      </c>
      <c r="E215" t="s">
        <v>116</v>
      </c>
      <c r="F215">
        <v>1</v>
      </c>
      <c r="G215">
        <v>0</v>
      </c>
      <c r="H215" s="25">
        <v>0</v>
      </c>
      <c r="I215" s="3">
        <v>0</v>
      </c>
      <c r="J215" s="3">
        <v>1</v>
      </c>
      <c r="K215" s="3">
        <v>1</v>
      </c>
      <c r="L215" s="3">
        <v>1</v>
      </c>
      <c r="M215" s="3">
        <v>1</v>
      </c>
      <c r="N215" s="3">
        <v>0</v>
      </c>
      <c r="O215" s="3">
        <v>1</v>
      </c>
      <c r="P215" s="3">
        <v>0</v>
      </c>
      <c r="Q215" s="3">
        <v>1</v>
      </c>
      <c r="R215" s="3">
        <v>1</v>
      </c>
      <c r="S215" s="3">
        <v>0</v>
      </c>
      <c r="T215" s="6">
        <f t="shared" si="3"/>
        <v>0</v>
      </c>
      <c r="U215" s="3" t="s">
        <v>110</v>
      </c>
      <c r="V215" s="6">
        <v>1</v>
      </c>
      <c r="W215" s="6">
        <v>2</v>
      </c>
      <c r="X215" s="6">
        <v>2</v>
      </c>
      <c r="Y215" s="3">
        <v>3</v>
      </c>
      <c r="Z215" s="6">
        <v>3</v>
      </c>
      <c r="AA215" s="3">
        <v>12</v>
      </c>
      <c r="AB215" s="3">
        <v>0</v>
      </c>
      <c r="AC215" s="3">
        <v>3</v>
      </c>
      <c r="AD215" s="22">
        <v>3</v>
      </c>
      <c r="AE215" s="3">
        <v>2</v>
      </c>
      <c r="AF215" s="3">
        <v>2</v>
      </c>
      <c r="AG215" s="6">
        <v>2</v>
      </c>
      <c r="AH215" s="3">
        <v>1</v>
      </c>
      <c r="AI215" s="3">
        <v>3</v>
      </c>
      <c r="AJ215" s="3">
        <v>2</v>
      </c>
      <c r="AK215" s="3">
        <v>1</v>
      </c>
      <c r="AL215" s="3">
        <v>3</v>
      </c>
    </row>
    <row r="216" spans="1:38" x14ac:dyDescent="0.35">
      <c r="A216" s="10">
        <v>215</v>
      </c>
      <c r="B216" t="s">
        <v>127</v>
      </c>
      <c r="C216">
        <v>1.81</v>
      </c>
      <c r="D216" t="s">
        <v>124</v>
      </c>
      <c r="E216" t="s">
        <v>115</v>
      </c>
      <c r="F216">
        <v>1</v>
      </c>
      <c r="G216">
        <v>0</v>
      </c>
      <c r="H216" s="25">
        <v>0.75</v>
      </c>
      <c r="I216" s="3">
        <v>0</v>
      </c>
      <c r="J216" s="3">
        <v>1</v>
      </c>
      <c r="K216" s="3">
        <v>1</v>
      </c>
      <c r="L216" s="3">
        <v>0</v>
      </c>
      <c r="M216" s="3">
        <v>1</v>
      </c>
      <c r="N216" s="3">
        <v>0</v>
      </c>
      <c r="O216" s="3">
        <v>1</v>
      </c>
      <c r="P216" s="3">
        <v>0</v>
      </c>
      <c r="Q216" s="3">
        <v>0</v>
      </c>
      <c r="R216" s="3">
        <v>1</v>
      </c>
      <c r="S216" s="3">
        <v>1</v>
      </c>
      <c r="T216" s="6">
        <f t="shared" si="3"/>
        <v>0</v>
      </c>
      <c r="U216" s="3" t="s">
        <v>133</v>
      </c>
      <c r="V216" s="6">
        <v>1</v>
      </c>
      <c r="W216" s="6">
        <v>2</v>
      </c>
      <c r="X216" s="6">
        <v>2</v>
      </c>
      <c r="Y216" s="3">
        <v>6</v>
      </c>
      <c r="Z216" s="6">
        <v>3</v>
      </c>
      <c r="AA216" s="3">
        <v>18</v>
      </c>
      <c r="AB216" s="3">
        <v>0</v>
      </c>
      <c r="AC216" s="3">
        <v>5</v>
      </c>
      <c r="AD216" s="22">
        <v>3</v>
      </c>
      <c r="AE216" s="3">
        <v>4</v>
      </c>
      <c r="AF216" s="3">
        <v>0</v>
      </c>
      <c r="AG216" s="6">
        <v>1</v>
      </c>
      <c r="AH216" s="3">
        <v>0</v>
      </c>
      <c r="AI216" s="3">
        <v>1</v>
      </c>
      <c r="AJ216" s="3">
        <v>2</v>
      </c>
      <c r="AK216" s="3">
        <v>0</v>
      </c>
      <c r="AL216" s="3">
        <v>2</v>
      </c>
    </row>
    <row r="217" spans="1:38" x14ac:dyDescent="0.35">
      <c r="A217" s="10">
        <v>216</v>
      </c>
      <c r="B217" t="s">
        <v>66</v>
      </c>
      <c r="C217">
        <v>1.61</v>
      </c>
      <c r="D217" t="s">
        <v>114</v>
      </c>
      <c r="E217" t="s">
        <v>118</v>
      </c>
      <c r="F217">
        <v>1</v>
      </c>
      <c r="G217">
        <v>0</v>
      </c>
      <c r="H217" s="25">
        <v>0.5</v>
      </c>
      <c r="I217" s="3">
        <v>0</v>
      </c>
      <c r="J217" s="3">
        <v>0</v>
      </c>
      <c r="K217" s="3">
        <v>0</v>
      </c>
      <c r="L217" s="3">
        <v>0</v>
      </c>
      <c r="M217" s="3">
        <v>0</v>
      </c>
      <c r="N217" s="3">
        <v>0</v>
      </c>
      <c r="O217" s="3">
        <v>0</v>
      </c>
      <c r="P217" s="3">
        <v>0</v>
      </c>
      <c r="Q217" s="3">
        <v>0</v>
      </c>
      <c r="R217" s="3">
        <v>0</v>
      </c>
      <c r="S217" s="3">
        <v>0</v>
      </c>
      <c r="T217" s="6">
        <f t="shared" si="3"/>
        <v>1</v>
      </c>
      <c r="U217" s="3" t="s">
        <v>42</v>
      </c>
      <c r="V217" s="6">
        <v>2</v>
      </c>
      <c r="W217" s="6">
        <v>0</v>
      </c>
      <c r="X217" s="6">
        <v>0</v>
      </c>
      <c r="Y217" s="3">
        <v>2</v>
      </c>
      <c r="Z217" s="6">
        <v>3</v>
      </c>
      <c r="AA217" s="3">
        <v>66</v>
      </c>
      <c r="AB217" s="3">
        <v>0</v>
      </c>
      <c r="AC217" s="3">
        <v>2</v>
      </c>
      <c r="AD217" s="22">
        <v>2</v>
      </c>
      <c r="AE217" s="3">
        <v>4</v>
      </c>
      <c r="AF217" s="3">
        <v>1</v>
      </c>
      <c r="AG217" s="6">
        <v>0</v>
      </c>
      <c r="AH217" s="3">
        <v>0</v>
      </c>
      <c r="AI217" s="3">
        <v>1</v>
      </c>
      <c r="AJ217" s="3">
        <v>2</v>
      </c>
      <c r="AK217" s="3">
        <v>1</v>
      </c>
      <c r="AL217" s="3">
        <v>3</v>
      </c>
    </row>
    <row r="218" spans="1:38" x14ac:dyDescent="0.35">
      <c r="A218" s="10">
        <v>217</v>
      </c>
      <c r="B218" t="s">
        <v>70</v>
      </c>
      <c r="C218">
        <v>-0.04</v>
      </c>
      <c r="D218" t="s">
        <v>125</v>
      </c>
      <c r="E218" t="s">
        <v>117</v>
      </c>
      <c r="F218">
        <v>1</v>
      </c>
      <c r="G218">
        <v>0</v>
      </c>
      <c r="H218" s="25">
        <v>0.25</v>
      </c>
      <c r="I218" s="3">
        <v>0</v>
      </c>
      <c r="J218" s="3">
        <v>1</v>
      </c>
      <c r="K218" s="3">
        <v>1</v>
      </c>
      <c r="L218" s="3">
        <v>1</v>
      </c>
      <c r="M218" s="3">
        <v>1</v>
      </c>
      <c r="N218" s="3">
        <v>0</v>
      </c>
      <c r="O218" s="3">
        <v>1</v>
      </c>
      <c r="P218" s="3">
        <v>1</v>
      </c>
      <c r="Q218" s="3">
        <v>1</v>
      </c>
      <c r="R218" s="3">
        <v>1</v>
      </c>
      <c r="S218" s="3">
        <v>0</v>
      </c>
      <c r="T218" s="6">
        <f t="shared" si="3"/>
        <v>0</v>
      </c>
      <c r="U218" s="3" t="s">
        <v>12</v>
      </c>
      <c r="V218" s="6">
        <v>0</v>
      </c>
      <c r="W218" s="6">
        <v>2</v>
      </c>
      <c r="X218" s="6">
        <v>2</v>
      </c>
      <c r="Y218" s="3">
        <v>1</v>
      </c>
      <c r="Z218" s="6">
        <v>4</v>
      </c>
      <c r="AA218" s="3">
        <v>135</v>
      </c>
      <c r="AB218" s="3">
        <v>3</v>
      </c>
      <c r="AC218" s="3">
        <v>4</v>
      </c>
      <c r="AD218" s="22">
        <v>1</v>
      </c>
      <c r="AE218" s="3">
        <v>3</v>
      </c>
      <c r="AF218" s="3">
        <v>2</v>
      </c>
      <c r="AG218" s="6">
        <v>2</v>
      </c>
      <c r="AH218" s="3">
        <v>1</v>
      </c>
      <c r="AI218" s="3">
        <v>1</v>
      </c>
      <c r="AJ218" s="3">
        <v>2</v>
      </c>
      <c r="AK218" s="3">
        <v>1</v>
      </c>
      <c r="AL218" s="3">
        <v>1</v>
      </c>
    </row>
    <row r="219" spans="1:38" x14ac:dyDescent="0.35">
      <c r="A219" s="10">
        <v>218</v>
      </c>
      <c r="B219" t="s">
        <v>70</v>
      </c>
      <c r="C219">
        <v>-0.04</v>
      </c>
      <c r="D219" t="s">
        <v>125</v>
      </c>
      <c r="E219" t="s">
        <v>115</v>
      </c>
      <c r="F219">
        <v>1</v>
      </c>
      <c r="G219">
        <v>0</v>
      </c>
      <c r="H219" s="25">
        <v>0.5</v>
      </c>
      <c r="I219" s="3">
        <v>0</v>
      </c>
      <c r="J219" s="3">
        <v>0</v>
      </c>
      <c r="K219" s="3">
        <v>1</v>
      </c>
      <c r="L219" s="3">
        <v>0</v>
      </c>
      <c r="M219" s="3">
        <v>1</v>
      </c>
      <c r="N219" s="3">
        <v>0</v>
      </c>
      <c r="O219" s="3">
        <v>1</v>
      </c>
      <c r="P219" s="3">
        <v>0</v>
      </c>
      <c r="Q219" s="3">
        <v>1</v>
      </c>
      <c r="R219" s="3">
        <v>1</v>
      </c>
      <c r="S219" s="3">
        <v>0</v>
      </c>
      <c r="T219" s="6">
        <f t="shared" si="3"/>
        <v>0</v>
      </c>
      <c r="U219" s="3" t="s">
        <v>134</v>
      </c>
      <c r="V219" s="6">
        <v>0</v>
      </c>
      <c r="W219" s="6">
        <v>2</v>
      </c>
      <c r="X219" s="6">
        <v>2</v>
      </c>
      <c r="Y219" s="3">
        <v>1</v>
      </c>
      <c r="Z219" s="6">
        <v>2</v>
      </c>
      <c r="AA219" s="3">
        <v>137</v>
      </c>
      <c r="AB219" s="3">
        <v>0</v>
      </c>
      <c r="AC219" s="3">
        <v>2</v>
      </c>
      <c r="AD219" s="22">
        <v>1</v>
      </c>
      <c r="AE219" s="3">
        <v>3</v>
      </c>
      <c r="AF219" s="3">
        <v>3</v>
      </c>
      <c r="AG219" s="6">
        <v>2</v>
      </c>
      <c r="AH219" s="3">
        <v>1</v>
      </c>
      <c r="AI219" s="3">
        <v>1</v>
      </c>
      <c r="AJ219" s="3">
        <v>2</v>
      </c>
      <c r="AK219" s="3">
        <v>0</v>
      </c>
      <c r="AL219" s="3">
        <v>3</v>
      </c>
    </row>
    <row r="220" spans="1:38" x14ac:dyDescent="0.35">
      <c r="A220" s="10">
        <v>219</v>
      </c>
      <c r="B220" t="s">
        <v>70</v>
      </c>
      <c r="C220">
        <v>-0.04</v>
      </c>
      <c r="D220" t="s">
        <v>125</v>
      </c>
      <c r="E220" t="s">
        <v>115</v>
      </c>
      <c r="F220">
        <v>1</v>
      </c>
      <c r="G220">
        <v>0</v>
      </c>
      <c r="H220" s="25">
        <v>0.5</v>
      </c>
      <c r="I220" s="3">
        <v>0</v>
      </c>
      <c r="J220" s="3">
        <v>0</v>
      </c>
      <c r="K220" s="3">
        <v>1</v>
      </c>
      <c r="L220" s="3">
        <v>0</v>
      </c>
      <c r="M220" s="3">
        <v>1</v>
      </c>
      <c r="N220" s="3">
        <v>0</v>
      </c>
      <c r="O220" s="3">
        <v>1</v>
      </c>
      <c r="P220" s="3">
        <v>0</v>
      </c>
      <c r="Q220" s="3">
        <v>1</v>
      </c>
      <c r="R220" s="3">
        <v>1</v>
      </c>
      <c r="S220" s="3">
        <v>0</v>
      </c>
      <c r="T220" s="6">
        <f t="shared" si="3"/>
        <v>0</v>
      </c>
      <c r="U220" s="3" t="s">
        <v>12</v>
      </c>
      <c r="V220" s="6">
        <v>1</v>
      </c>
      <c r="W220" s="6">
        <v>2</v>
      </c>
      <c r="X220" s="6">
        <v>2</v>
      </c>
      <c r="Y220" s="3">
        <v>2</v>
      </c>
      <c r="Z220" s="6">
        <v>2</v>
      </c>
      <c r="AA220" s="3">
        <v>135</v>
      </c>
      <c r="AB220" s="3">
        <v>0</v>
      </c>
      <c r="AC220" s="3">
        <v>1</v>
      </c>
      <c r="AD220" s="22">
        <v>3</v>
      </c>
      <c r="AE220" s="3">
        <v>4</v>
      </c>
      <c r="AF220" s="3">
        <v>0</v>
      </c>
      <c r="AG220" s="6">
        <v>1</v>
      </c>
      <c r="AH220" s="3">
        <v>0</v>
      </c>
      <c r="AI220" s="3">
        <v>1</v>
      </c>
      <c r="AJ220" s="3">
        <v>2</v>
      </c>
      <c r="AK220" s="3">
        <v>0</v>
      </c>
      <c r="AL220" s="3">
        <v>2</v>
      </c>
    </row>
    <row r="221" spans="1:38" x14ac:dyDescent="0.35">
      <c r="A221" s="10">
        <v>220</v>
      </c>
      <c r="B221" t="s">
        <v>159</v>
      </c>
      <c r="C221" s="10">
        <v>-0.37</v>
      </c>
      <c r="D221" t="s">
        <v>114</v>
      </c>
      <c r="E221" t="s">
        <v>118</v>
      </c>
      <c r="F221">
        <v>1</v>
      </c>
      <c r="G221">
        <v>1</v>
      </c>
      <c r="H221" s="25">
        <v>0.75</v>
      </c>
      <c r="I221" s="3">
        <v>0</v>
      </c>
      <c r="J221" s="3">
        <v>1</v>
      </c>
      <c r="K221" s="3">
        <v>0</v>
      </c>
      <c r="L221" s="3">
        <v>0</v>
      </c>
      <c r="M221" s="3">
        <v>1</v>
      </c>
      <c r="N221" s="3">
        <v>0</v>
      </c>
      <c r="O221" s="3">
        <v>0</v>
      </c>
      <c r="P221" s="3">
        <v>1</v>
      </c>
      <c r="Q221" s="3">
        <v>1</v>
      </c>
      <c r="R221" s="3">
        <v>0</v>
      </c>
      <c r="S221" s="3">
        <v>0</v>
      </c>
      <c r="T221" s="6">
        <f t="shared" si="3"/>
        <v>0</v>
      </c>
      <c r="U221" s="3" t="s">
        <v>133</v>
      </c>
      <c r="V221" s="6">
        <v>0</v>
      </c>
      <c r="W221" s="6">
        <v>2</v>
      </c>
      <c r="X221" s="6">
        <v>2</v>
      </c>
      <c r="Y221" s="3">
        <v>2</v>
      </c>
      <c r="Z221" s="6">
        <v>4</v>
      </c>
      <c r="AA221" s="3">
        <v>14</v>
      </c>
      <c r="AB221" s="3">
        <v>0</v>
      </c>
      <c r="AC221" s="3">
        <v>5</v>
      </c>
      <c r="AD221" s="6">
        <v>2</v>
      </c>
      <c r="AE221" s="3">
        <v>3</v>
      </c>
      <c r="AF221" s="3">
        <v>0</v>
      </c>
      <c r="AG221" s="6">
        <v>2</v>
      </c>
      <c r="AH221" s="3">
        <v>0</v>
      </c>
      <c r="AI221" s="3">
        <v>1</v>
      </c>
      <c r="AJ221" s="3">
        <v>2</v>
      </c>
      <c r="AK221" s="3">
        <v>0</v>
      </c>
      <c r="AL221" s="3">
        <v>1</v>
      </c>
    </row>
    <row r="222" spans="1:38" x14ac:dyDescent="0.35">
      <c r="A222" s="10">
        <v>221</v>
      </c>
      <c r="B222" t="s">
        <v>161</v>
      </c>
      <c r="C222">
        <v>1.47</v>
      </c>
      <c r="D222" t="s">
        <v>151</v>
      </c>
      <c r="E222" t="s">
        <v>115</v>
      </c>
      <c r="F222">
        <v>1</v>
      </c>
      <c r="G222">
        <v>0</v>
      </c>
      <c r="H222" s="25">
        <v>0.25</v>
      </c>
      <c r="I222" s="3">
        <v>0</v>
      </c>
      <c r="J222" s="3">
        <v>1</v>
      </c>
      <c r="K222" s="3">
        <v>1</v>
      </c>
      <c r="L222" s="3">
        <v>0</v>
      </c>
      <c r="M222" s="3">
        <v>1</v>
      </c>
      <c r="N222" s="3">
        <v>0</v>
      </c>
      <c r="O222" s="3">
        <v>0</v>
      </c>
      <c r="P222" s="3">
        <v>0</v>
      </c>
      <c r="Q222" s="3">
        <v>0</v>
      </c>
      <c r="R222" s="3">
        <v>0</v>
      </c>
      <c r="S222" s="3">
        <v>0</v>
      </c>
      <c r="T222" s="6">
        <f t="shared" si="3"/>
        <v>0</v>
      </c>
      <c r="U222" s="3" t="s">
        <v>12</v>
      </c>
      <c r="V222" s="6">
        <v>1</v>
      </c>
      <c r="W222" s="6">
        <v>0</v>
      </c>
      <c r="X222" s="6">
        <v>0</v>
      </c>
      <c r="Y222" s="3">
        <v>1</v>
      </c>
      <c r="AA222" s="3">
        <v>9</v>
      </c>
      <c r="AB222" s="3">
        <v>0</v>
      </c>
      <c r="AC222" s="3">
        <v>2</v>
      </c>
      <c r="AD222" s="6">
        <v>3</v>
      </c>
      <c r="AE222" s="3">
        <v>4</v>
      </c>
      <c r="AF222" s="3">
        <v>2</v>
      </c>
      <c r="AG222" s="6">
        <v>3</v>
      </c>
      <c r="AH222" s="3">
        <v>3</v>
      </c>
      <c r="AI222" s="3">
        <v>2</v>
      </c>
      <c r="AJ222" s="3">
        <v>1</v>
      </c>
      <c r="AK222" s="3">
        <v>0</v>
      </c>
      <c r="AL222" s="3">
        <v>1</v>
      </c>
    </row>
    <row r="223" spans="1:38" x14ac:dyDescent="0.35">
      <c r="A223" s="10">
        <v>222</v>
      </c>
      <c r="B223" t="s">
        <v>159</v>
      </c>
      <c r="C223" s="10">
        <v>-0.37</v>
      </c>
      <c r="D223" t="s">
        <v>137</v>
      </c>
      <c r="E223" t="s">
        <v>115</v>
      </c>
      <c r="F223">
        <v>1</v>
      </c>
      <c r="G223">
        <v>1</v>
      </c>
      <c r="H223" s="25">
        <v>0.5</v>
      </c>
      <c r="I223" s="3">
        <v>0</v>
      </c>
      <c r="J223" s="3">
        <v>1</v>
      </c>
      <c r="K223" s="3">
        <v>0</v>
      </c>
      <c r="L223" s="3">
        <v>0</v>
      </c>
      <c r="M223" s="3">
        <v>0</v>
      </c>
      <c r="N223" s="3">
        <v>0</v>
      </c>
      <c r="O223" s="3">
        <v>1</v>
      </c>
      <c r="P223" s="3">
        <v>0</v>
      </c>
      <c r="Q223" s="3">
        <v>0</v>
      </c>
      <c r="R223" s="3">
        <v>0</v>
      </c>
      <c r="S223" s="3">
        <v>0</v>
      </c>
      <c r="T223" s="6">
        <f t="shared" si="3"/>
        <v>0</v>
      </c>
      <c r="U223" s="3" t="s">
        <v>133</v>
      </c>
      <c r="V223" s="6">
        <v>0</v>
      </c>
      <c r="W223" s="6">
        <v>2</v>
      </c>
      <c r="X223" s="6">
        <v>2</v>
      </c>
      <c r="Y223" s="3">
        <v>2</v>
      </c>
      <c r="Z223" s="6">
        <v>3</v>
      </c>
      <c r="AA223" s="3">
        <v>40</v>
      </c>
      <c r="AB223" s="3">
        <v>0</v>
      </c>
      <c r="AC223" s="3">
        <v>4</v>
      </c>
      <c r="AD223" s="6">
        <v>2</v>
      </c>
      <c r="AE223" s="3">
        <v>4</v>
      </c>
      <c r="AF223" s="3">
        <v>2</v>
      </c>
      <c r="AG223" s="6">
        <v>1</v>
      </c>
      <c r="AH223" s="3">
        <v>2</v>
      </c>
      <c r="AI223" s="3">
        <v>1</v>
      </c>
      <c r="AJ223" s="3">
        <v>2</v>
      </c>
      <c r="AK223" s="3">
        <v>2</v>
      </c>
      <c r="AL223" s="3">
        <v>2</v>
      </c>
    </row>
    <row r="224" spans="1:38" x14ac:dyDescent="0.35">
      <c r="A224" s="10">
        <v>223</v>
      </c>
      <c r="B224" t="s">
        <v>66</v>
      </c>
      <c r="C224">
        <v>1.61</v>
      </c>
      <c r="D224" t="s">
        <v>114</v>
      </c>
      <c r="E224" t="s">
        <v>121</v>
      </c>
      <c r="F224">
        <v>0</v>
      </c>
      <c r="G224">
        <v>0</v>
      </c>
      <c r="H224" s="25">
        <v>0</v>
      </c>
      <c r="I224" s="3">
        <v>0</v>
      </c>
      <c r="J224" s="3">
        <v>0</v>
      </c>
      <c r="K224" s="3">
        <v>0</v>
      </c>
      <c r="L224" s="3">
        <v>0</v>
      </c>
      <c r="M224" s="3">
        <v>0</v>
      </c>
      <c r="N224" s="3">
        <v>0</v>
      </c>
      <c r="O224" s="3">
        <v>0</v>
      </c>
      <c r="P224" s="3">
        <v>0</v>
      </c>
      <c r="Q224" s="3">
        <v>0</v>
      </c>
      <c r="R224" s="3">
        <v>0</v>
      </c>
      <c r="S224" s="3">
        <v>0</v>
      </c>
      <c r="T224" s="6">
        <f t="shared" si="3"/>
        <v>1</v>
      </c>
      <c r="U224" s="3" t="s">
        <v>42</v>
      </c>
      <c r="V224" s="6">
        <v>1</v>
      </c>
      <c r="W224" s="6">
        <v>1</v>
      </c>
      <c r="X224" s="6">
        <v>0</v>
      </c>
      <c r="Y224" s="3">
        <v>3</v>
      </c>
      <c r="Z224" s="6">
        <v>1</v>
      </c>
      <c r="AA224" s="3">
        <v>15</v>
      </c>
      <c r="AB224" s="3">
        <v>2</v>
      </c>
      <c r="AC224" s="3">
        <v>1</v>
      </c>
      <c r="AD224" s="6">
        <v>2</v>
      </c>
      <c r="AE224" s="3">
        <v>3</v>
      </c>
      <c r="AF224" s="3">
        <v>1</v>
      </c>
      <c r="AG224" s="6">
        <v>0</v>
      </c>
      <c r="AH224" s="3">
        <v>1</v>
      </c>
      <c r="AI224" s="3">
        <v>1</v>
      </c>
      <c r="AJ224" s="3">
        <v>1</v>
      </c>
      <c r="AK224" s="3">
        <v>1</v>
      </c>
      <c r="AL224" s="3">
        <v>3</v>
      </c>
    </row>
    <row r="225" spans="1:38" s="3" customFormat="1" x14ac:dyDescent="0.35">
      <c r="A225" s="3">
        <v>224</v>
      </c>
      <c r="B225" s="3" t="s">
        <v>66</v>
      </c>
      <c r="C225">
        <v>1.61</v>
      </c>
      <c r="D225" t="s">
        <v>114</v>
      </c>
      <c r="E225" t="s">
        <v>115</v>
      </c>
      <c r="F225">
        <v>1</v>
      </c>
      <c r="G225" s="3">
        <v>0</v>
      </c>
      <c r="H225" s="25">
        <v>0</v>
      </c>
      <c r="I225" s="3">
        <v>0</v>
      </c>
      <c r="J225" s="6">
        <v>0</v>
      </c>
      <c r="K225" s="6">
        <v>0</v>
      </c>
      <c r="L225" s="6">
        <v>0</v>
      </c>
      <c r="M225" s="6">
        <v>0</v>
      </c>
      <c r="N225" s="6">
        <v>0</v>
      </c>
      <c r="O225" s="6">
        <v>1</v>
      </c>
      <c r="P225" s="6">
        <v>0</v>
      </c>
      <c r="Q225" s="6">
        <v>0</v>
      </c>
      <c r="R225" s="6">
        <v>0</v>
      </c>
      <c r="S225" s="3">
        <v>0</v>
      </c>
      <c r="T225" s="6">
        <f t="shared" si="3"/>
        <v>0</v>
      </c>
      <c r="U225" s="6" t="s">
        <v>102</v>
      </c>
      <c r="V225" s="6">
        <v>0</v>
      </c>
      <c r="W225" s="6">
        <v>2</v>
      </c>
      <c r="X225" s="6">
        <v>0</v>
      </c>
      <c r="Y225" s="3">
        <v>1</v>
      </c>
      <c r="Z225" s="6">
        <v>2</v>
      </c>
      <c r="AA225" s="3">
        <v>37</v>
      </c>
      <c r="AB225" s="3">
        <v>0</v>
      </c>
      <c r="AC225" s="3">
        <v>5</v>
      </c>
      <c r="AD225" s="6">
        <v>2</v>
      </c>
      <c r="AE225" s="3">
        <v>3</v>
      </c>
      <c r="AF225" s="3">
        <v>2</v>
      </c>
      <c r="AG225" s="6">
        <v>3</v>
      </c>
      <c r="AH225" s="3">
        <v>1</v>
      </c>
      <c r="AI225" s="3">
        <v>3</v>
      </c>
      <c r="AJ225" s="3">
        <v>2</v>
      </c>
      <c r="AK225" s="3">
        <v>1</v>
      </c>
      <c r="AL225" s="3">
        <v>2</v>
      </c>
    </row>
    <row r="226" spans="1:38" s="14" customFormat="1" x14ac:dyDescent="0.35">
      <c r="A226" s="28">
        <v>225</v>
      </c>
      <c r="B226" s="14" t="s">
        <v>66</v>
      </c>
      <c r="C226" s="14">
        <v>1.61</v>
      </c>
      <c r="D226" s="14" t="s">
        <v>114</v>
      </c>
      <c r="E226" s="14" t="s">
        <v>115</v>
      </c>
      <c r="F226" s="14">
        <v>1</v>
      </c>
      <c r="G226" s="14">
        <v>0</v>
      </c>
      <c r="H226" s="17">
        <v>0</v>
      </c>
      <c r="I226" s="6">
        <v>0</v>
      </c>
      <c r="J226" s="6">
        <v>0</v>
      </c>
      <c r="K226" s="6">
        <v>0</v>
      </c>
      <c r="L226" s="6">
        <v>0</v>
      </c>
      <c r="M226" s="6">
        <v>0</v>
      </c>
      <c r="N226" s="6">
        <v>0</v>
      </c>
      <c r="O226" s="6">
        <v>0</v>
      </c>
      <c r="P226" s="6">
        <v>0</v>
      </c>
      <c r="Q226" s="6">
        <v>0</v>
      </c>
      <c r="R226" s="6">
        <v>0</v>
      </c>
      <c r="S226" s="6">
        <v>0</v>
      </c>
      <c r="T226" s="6">
        <f t="shared" si="3"/>
        <v>1</v>
      </c>
      <c r="U226" s="6" t="s">
        <v>42</v>
      </c>
      <c r="V226" s="6">
        <v>2</v>
      </c>
      <c r="W226" s="6">
        <v>0</v>
      </c>
      <c r="X226" s="6">
        <v>0</v>
      </c>
      <c r="Y226" s="6">
        <v>2</v>
      </c>
      <c r="Z226" s="6">
        <v>3</v>
      </c>
      <c r="AA226" s="6">
        <v>97</v>
      </c>
      <c r="AB226" s="6">
        <v>4</v>
      </c>
      <c r="AC226" s="6">
        <v>5</v>
      </c>
      <c r="AD226" s="6">
        <v>3</v>
      </c>
      <c r="AE226" s="6">
        <v>3</v>
      </c>
      <c r="AF226" s="6">
        <v>2</v>
      </c>
      <c r="AG226" s="6">
        <v>0</v>
      </c>
      <c r="AH226" s="6">
        <v>0</v>
      </c>
      <c r="AI226" s="6">
        <v>1</v>
      </c>
      <c r="AJ226" s="6">
        <v>1</v>
      </c>
      <c r="AK226" s="6">
        <v>1</v>
      </c>
      <c r="AL226" s="6">
        <v>2</v>
      </c>
    </row>
    <row r="227" spans="1:38" x14ac:dyDescent="0.35">
      <c r="A227" s="10">
        <v>226</v>
      </c>
      <c r="B227" t="s">
        <v>159</v>
      </c>
      <c r="C227" s="10">
        <v>-0.37</v>
      </c>
      <c r="D227" t="s">
        <v>114</v>
      </c>
      <c r="E227" t="s">
        <v>118</v>
      </c>
      <c r="F227" s="14">
        <v>1</v>
      </c>
      <c r="G227" s="14">
        <v>1</v>
      </c>
      <c r="H227" s="17">
        <v>0</v>
      </c>
      <c r="I227" s="3">
        <v>0</v>
      </c>
      <c r="J227" s="3">
        <v>0</v>
      </c>
      <c r="K227" s="3">
        <v>0</v>
      </c>
      <c r="L227" s="3">
        <v>0</v>
      </c>
      <c r="M227" s="3">
        <v>0</v>
      </c>
      <c r="N227" s="3">
        <v>0</v>
      </c>
      <c r="O227" s="3">
        <v>0</v>
      </c>
      <c r="P227" s="3">
        <v>0</v>
      </c>
      <c r="Q227" s="3">
        <v>0</v>
      </c>
      <c r="R227" s="3">
        <v>0</v>
      </c>
      <c r="S227" s="3">
        <v>0</v>
      </c>
      <c r="T227" s="3">
        <f t="shared" si="3"/>
        <v>1</v>
      </c>
      <c r="U227" s="6" t="s">
        <v>42</v>
      </c>
      <c r="V227" s="6">
        <v>2</v>
      </c>
      <c r="W227" s="6">
        <v>0</v>
      </c>
      <c r="X227" s="6">
        <v>0</v>
      </c>
      <c r="Y227" s="6">
        <v>2</v>
      </c>
      <c r="Z227" s="6">
        <v>1</v>
      </c>
      <c r="AA227" s="6">
        <v>120</v>
      </c>
      <c r="AB227" s="6">
        <v>0</v>
      </c>
      <c r="AC227" s="6">
        <v>3</v>
      </c>
      <c r="AD227" s="6">
        <v>3</v>
      </c>
      <c r="AE227" s="6">
        <v>4</v>
      </c>
      <c r="AF227" s="6">
        <v>3</v>
      </c>
      <c r="AG227" s="6">
        <v>3</v>
      </c>
      <c r="AH227" s="6">
        <v>0</v>
      </c>
      <c r="AI227" s="6">
        <v>1</v>
      </c>
      <c r="AJ227" s="6">
        <v>1</v>
      </c>
      <c r="AK227" s="6">
        <v>1</v>
      </c>
      <c r="AL227" s="6">
        <v>2</v>
      </c>
    </row>
    <row r="228" spans="1:38" x14ac:dyDescent="0.35">
      <c r="A228" s="10">
        <v>227</v>
      </c>
      <c r="B228" t="s">
        <v>159</v>
      </c>
      <c r="C228" s="10">
        <v>-0.37</v>
      </c>
      <c r="D228" t="s">
        <v>137</v>
      </c>
      <c r="E228" t="s">
        <v>121</v>
      </c>
      <c r="F228" s="14">
        <v>1</v>
      </c>
      <c r="G228" s="14">
        <v>1</v>
      </c>
      <c r="H228" s="25">
        <v>0.75</v>
      </c>
      <c r="I228" s="3">
        <v>0</v>
      </c>
      <c r="J228" s="3">
        <v>1</v>
      </c>
      <c r="K228" s="3">
        <v>1</v>
      </c>
      <c r="L228" s="3">
        <v>1</v>
      </c>
      <c r="M228" s="3">
        <v>0</v>
      </c>
      <c r="N228" s="3">
        <v>0</v>
      </c>
      <c r="O228" s="3">
        <v>0</v>
      </c>
      <c r="P228" s="3">
        <v>0</v>
      </c>
      <c r="Q228" s="3">
        <v>0</v>
      </c>
      <c r="R228" s="3">
        <v>0</v>
      </c>
      <c r="S228" s="3">
        <v>0</v>
      </c>
      <c r="T228" s="3">
        <f t="shared" si="3"/>
        <v>0</v>
      </c>
      <c r="U228" s="25" t="s">
        <v>133</v>
      </c>
      <c r="V228" s="6">
        <v>1</v>
      </c>
      <c r="W228" s="6">
        <v>0</v>
      </c>
      <c r="X228" s="6">
        <v>0</v>
      </c>
      <c r="Y228" s="6">
        <v>1</v>
      </c>
      <c r="Z228" s="6">
        <v>4</v>
      </c>
      <c r="AA228" s="6">
        <v>78</v>
      </c>
      <c r="AB228" s="6">
        <v>0</v>
      </c>
      <c r="AC228" s="6">
        <v>3</v>
      </c>
      <c r="AD228" s="6">
        <v>2</v>
      </c>
      <c r="AE228" s="6">
        <v>2</v>
      </c>
      <c r="AF228" s="6">
        <v>2</v>
      </c>
      <c r="AG228" s="6">
        <v>1</v>
      </c>
      <c r="AH228" s="6">
        <v>2</v>
      </c>
      <c r="AI228" s="6">
        <v>3</v>
      </c>
      <c r="AJ228" s="6">
        <v>1</v>
      </c>
      <c r="AK228" s="6">
        <v>0</v>
      </c>
      <c r="AL228" s="6">
        <v>3</v>
      </c>
    </row>
    <row r="229" spans="1:38" x14ac:dyDescent="0.35">
      <c r="A229" s="10">
        <v>228</v>
      </c>
      <c r="B229" t="s">
        <v>159</v>
      </c>
      <c r="C229" s="10">
        <v>-0.37</v>
      </c>
      <c r="D229" t="s">
        <v>137</v>
      </c>
      <c r="E229" t="s">
        <v>118</v>
      </c>
      <c r="F229" s="14">
        <v>1</v>
      </c>
      <c r="G229" s="14">
        <v>1</v>
      </c>
      <c r="H229" s="25">
        <v>0.75</v>
      </c>
      <c r="I229" s="3">
        <v>0</v>
      </c>
      <c r="J229" s="3">
        <v>0</v>
      </c>
      <c r="K229" s="3">
        <v>0</v>
      </c>
      <c r="L229" s="3">
        <v>0</v>
      </c>
      <c r="M229" s="3">
        <v>1</v>
      </c>
      <c r="N229" s="3">
        <v>0</v>
      </c>
      <c r="O229" s="3">
        <v>1</v>
      </c>
      <c r="P229" s="3">
        <v>0</v>
      </c>
      <c r="Q229" s="3">
        <v>0</v>
      </c>
      <c r="R229" s="3">
        <v>1</v>
      </c>
      <c r="S229" s="3">
        <v>0</v>
      </c>
      <c r="T229" s="3">
        <f t="shared" si="3"/>
        <v>0</v>
      </c>
      <c r="U229" s="25" t="s">
        <v>12</v>
      </c>
      <c r="V229" s="6">
        <v>1</v>
      </c>
      <c r="W229" s="6">
        <v>2</v>
      </c>
      <c r="X229" s="6">
        <v>2</v>
      </c>
      <c r="Y229" s="3">
        <v>3</v>
      </c>
      <c r="Z229" s="6">
        <v>1</v>
      </c>
      <c r="AA229" s="3">
        <v>98</v>
      </c>
      <c r="AB229" s="3">
        <v>0</v>
      </c>
      <c r="AC229" s="3">
        <v>4</v>
      </c>
      <c r="AD229" s="6">
        <v>3</v>
      </c>
      <c r="AE229" s="3">
        <v>1</v>
      </c>
      <c r="AF229" s="3">
        <v>0</v>
      </c>
      <c r="AG229" s="6">
        <v>0</v>
      </c>
      <c r="AH229" s="3">
        <v>0</v>
      </c>
      <c r="AI229" s="3">
        <v>1</v>
      </c>
      <c r="AJ229" s="3">
        <v>2</v>
      </c>
      <c r="AK229" s="3">
        <v>1</v>
      </c>
      <c r="AL229" s="3">
        <v>2</v>
      </c>
    </row>
    <row r="230" spans="1:38" x14ac:dyDescent="0.35">
      <c r="A230" s="10">
        <v>229</v>
      </c>
      <c r="B230" t="s">
        <v>159</v>
      </c>
      <c r="C230" s="10">
        <v>-0.37</v>
      </c>
      <c r="D230" t="s">
        <v>137</v>
      </c>
      <c r="E230" t="s">
        <v>121</v>
      </c>
      <c r="F230" s="14">
        <v>0</v>
      </c>
      <c r="G230" s="14">
        <v>1</v>
      </c>
      <c r="H230" s="25">
        <v>0.75</v>
      </c>
      <c r="I230" s="3">
        <v>0</v>
      </c>
      <c r="J230" s="3">
        <v>1</v>
      </c>
      <c r="K230" s="3">
        <v>0</v>
      </c>
      <c r="L230" s="3">
        <v>0</v>
      </c>
      <c r="M230" s="3">
        <v>1</v>
      </c>
      <c r="N230" s="3">
        <v>0</v>
      </c>
      <c r="O230" s="3">
        <v>1</v>
      </c>
      <c r="P230" s="3">
        <v>0</v>
      </c>
      <c r="Q230" s="3">
        <v>0</v>
      </c>
      <c r="R230" s="3">
        <v>1</v>
      </c>
      <c r="S230" s="3">
        <v>0</v>
      </c>
      <c r="T230" s="3">
        <f t="shared" si="3"/>
        <v>0</v>
      </c>
      <c r="U230" s="3" t="s">
        <v>12</v>
      </c>
      <c r="V230" s="6">
        <v>2</v>
      </c>
      <c r="W230" s="6">
        <v>1</v>
      </c>
      <c r="X230" s="6">
        <v>1</v>
      </c>
      <c r="Y230" s="3">
        <v>3</v>
      </c>
      <c r="Z230" s="6">
        <v>4</v>
      </c>
      <c r="AA230" s="3">
        <v>130</v>
      </c>
      <c r="AB230" s="3">
        <v>0</v>
      </c>
      <c r="AC230" s="3">
        <v>5</v>
      </c>
      <c r="AD230" s="6">
        <v>4</v>
      </c>
      <c r="AE230" s="3">
        <v>4</v>
      </c>
      <c r="AF230" s="3">
        <v>0</v>
      </c>
      <c r="AG230" s="6">
        <v>2</v>
      </c>
      <c r="AH230" s="3">
        <v>2</v>
      </c>
      <c r="AI230" s="3">
        <v>1</v>
      </c>
      <c r="AJ230" s="3">
        <v>2</v>
      </c>
      <c r="AK230" s="3">
        <v>0</v>
      </c>
      <c r="AL230" s="3">
        <v>3</v>
      </c>
    </row>
    <row r="231" spans="1:38" x14ac:dyDescent="0.35">
      <c r="A231" s="10">
        <v>230</v>
      </c>
      <c r="B231" t="s">
        <v>159</v>
      </c>
      <c r="C231" s="10">
        <v>-0.37</v>
      </c>
      <c r="D231" t="s">
        <v>114</v>
      </c>
      <c r="E231" t="s">
        <v>118</v>
      </c>
      <c r="F231" s="14">
        <v>1</v>
      </c>
      <c r="G231" s="14">
        <v>1</v>
      </c>
      <c r="H231" s="25">
        <v>0.5</v>
      </c>
      <c r="I231" s="3">
        <v>0</v>
      </c>
      <c r="J231" s="3">
        <v>0</v>
      </c>
      <c r="K231" s="3">
        <v>0</v>
      </c>
      <c r="L231" s="3">
        <v>0</v>
      </c>
      <c r="M231" s="3">
        <v>0</v>
      </c>
      <c r="N231" s="3">
        <v>0</v>
      </c>
      <c r="O231" s="3">
        <v>0</v>
      </c>
      <c r="P231" s="3">
        <v>0</v>
      </c>
      <c r="Q231" s="3">
        <v>0</v>
      </c>
      <c r="R231" s="3">
        <v>0</v>
      </c>
      <c r="S231" s="3">
        <v>0</v>
      </c>
      <c r="T231" s="3">
        <f t="shared" si="3"/>
        <v>1</v>
      </c>
      <c r="U231" s="3" t="s">
        <v>42</v>
      </c>
      <c r="V231" s="6">
        <v>0</v>
      </c>
      <c r="W231" s="6">
        <v>0</v>
      </c>
      <c r="X231" s="6">
        <v>0</v>
      </c>
      <c r="Y231" s="3">
        <v>2</v>
      </c>
      <c r="Z231" s="6">
        <v>1</v>
      </c>
      <c r="AA231" s="3">
        <v>21</v>
      </c>
      <c r="AB231" s="3">
        <v>0</v>
      </c>
      <c r="AC231" s="3">
        <v>2</v>
      </c>
      <c r="AD231" s="6">
        <v>3</v>
      </c>
      <c r="AE231" s="3">
        <v>4</v>
      </c>
      <c r="AF231" s="3">
        <v>0</v>
      </c>
      <c r="AG231" s="6">
        <v>1</v>
      </c>
      <c r="AH231" s="3">
        <v>0</v>
      </c>
      <c r="AI231" s="3">
        <v>1</v>
      </c>
      <c r="AJ231" s="3">
        <v>2</v>
      </c>
      <c r="AK231" s="3">
        <v>1</v>
      </c>
      <c r="AL231" s="3">
        <v>0</v>
      </c>
    </row>
    <row r="232" spans="1:38" x14ac:dyDescent="0.35">
      <c r="A232" s="10">
        <v>231</v>
      </c>
      <c r="B232" t="s">
        <v>159</v>
      </c>
      <c r="C232" s="10">
        <v>-0.37</v>
      </c>
      <c r="D232" t="s">
        <v>114</v>
      </c>
      <c r="E232" t="s">
        <v>116</v>
      </c>
      <c r="F232">
        <v>1</v>
      </c>
      <c r="G232" s="14">
        <v>1</v>
      </c>
      <c r="H232" s="25">
        <v>0</v>
      </c>
      <c r="I232" s="3">
        <v>0</v>
      </c>
      <c r="J232" s="3">
        <v>0</v>
      </c>
      <c r="K232" s="3">
        <v>0</v>
      </c>
      <c r="L232" s="3">
        <v>0</v>
      </c>
      <c r="M232" s="3">
        <v>0</v>
      </c>
      <c r="N232" s="3">
        <v>0</v>
      </c>
      <c r="O232" s="3">
        <v>1</v>
      </c>
      <c r="P232" s="3">
        <v>0</v>
      </c>
      <c r="Q232" s="3">
        <v>0</v>
      </c>
      <c r="R232" s="3">
        <v>1</v>
      </c>
      <c r="S232" s="3">
        <v>0</v>
      </c>
      <c r="T232" s="3">
        <f t="shared" si="3"/>
        <v>0</v>
      </c>
      <c r="U232" s="3" t="s">
        <v>14</v>
      </c>
      <c r="V232" s="6">
        <v>0</v>
      </c>
      <c r="W232" s="6">
        <v>2</v>
      </c>
      <c r="X232" s="6">
        <v>2</v>
      </c>
      <c r="Y232" s="3">
        <v>1</v>
      </c>
      <c r="Z232" s="6">
        <v>2</v>
      </c>
      <c r="AA232" s="3">
        <v>72</v>
      </c>
      <c r="AB232" s="3">
        <v>0</v>
      </c>
      <c r="AC232" s="3">
        <v>3</v>
      </c>
      <c r="AD232" s="6">
        <v>4</v>
      </c>
      <c r="AE232" s="3">
        <v>2</v>
      </c>
      <c r="AF232" s="3">
        <v>2</v>
      </c>
      <c r="AG232" s="6">
        <v>2</v>
      </c>
      <c r="AH232" s="3">
        <v>0</v>
      </c>
      <c r="AI232" s="3">
        <v>1</v>
      </c>
      <c r="AJ232" s="3">
        <v>2</v>
      </c>
      <c r="AK232" s="3">
        <v>0</v>
      </c>
      <c r="AL232" s="3">
        <v>1</v>
      </c>
    </row>
    <row r="234" spans="1:38" x14ac:dyDescent="0.35">
      <c r="I234" s="25"/>
      <c r="J234" s="25"/>
      <c r="K234" s="25"/>
      <c r="L234" s="25"/>
      <c r="M234" s="25"/>
      <c r="N234" s="25"/>
      <c r="O234" s="25"/>
      <c r="P234" s="25"/>
      <c r="Q234" s="25"/>
      <c r="R234" s="25"/>
      <c r="S234" s="25"/>
      <c r="T234" s="25"/>
    </row>
    <row r="235" spans="1:38" x14ac:dyDescent="0.35">
      <c r="T235" s="25"/>
    </row>
  </sheetData>
  <pageMargins left="0.7" right="0.7" top="0.75" bottom="0.75" header="0.3" footer="0.3"/>
  <pageSetup paperSize="9" orientation="portrait" horizontalDpi="300" verticalDpi="300" r:id="rId1"/>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22"/>
  <sheetViews>
    <sheetView topLeftCell="A13" workbookViewId="0">
      <selection activeCell="C7" sqref="C7"/>
    </sheetView>
  </sheetViews>
  <sheetFormatPr defaultRowHeight="14.5" x14ac:dyDescent="0.35"/>
  <cols>
    <col min="1" max="1" width="22" bestFit="1" customWidth="1"/>
    <col min="2" max="2" width="11.26953125" bestFit="1" customWidth="1"/>
    <col min="4" max="4" width="9.1796875" style="14"/>
    <col min="10" max="10" width="8.7265625" style="4" customWidth="1"/>
    <col min="11" max="11" width="8.7265625" style="1"/>
    <col min="12" max="12" width="8.7265625" style="19"/>
    <col min="13" max="18" width="8.7265625" style="1"/>
  </cols>
  <sheetData>
    <row r="1" spans="1:19" x14ac:dyDescent="0.35">
      <c r="C1" s="4" t="s">
        <v>70</v>
      </c>
      <c r="D1" s="18" t="s">
        <v>66</v>
      </c>
      <c r="E1" s="4" t="s">
        <v>127</v>
      </c>
      <c r="F1" s="4" t="s">
        <v>160</v>
      </c>
      <c r="G1" s="4" t="s">
        <v>161</v>
      </c>
      <c r="H1" s="4" t="s">
        <v>64</v>
      </c>
      <c r="I1" s="4" t="s">
        <v>159</v>
      </c>
      <c r="J1" s="4" t="s">
        <v>173</v>
      </c>
      <c r="K1" s="30" t="s">
        <v>70</v>
      </c>
      <c r="L1" s="23" t="s">
        <v>66</v>
      </c>
      <c r="M1" s="30" t="s">
        <v>127</v>
      </c>
      <c r="N1" s="30" t="s">
        <v>160</v>
      </c>
      <c r="O1" s="30" t="s">
        <v>161</v>
      </c>
      <c r="P1" s="30" t="s">
        <v>64</v>
      </c>
      <c r="Q1" s="30" t="s">
        <v>159</v>
      </c>
      <c r="R1" s="30" t="s">
        <v>173</v>
      </c>
    </row>
    <row r="2" spans="1:19" x14ac:dyDescent="0.35">
      <c r="A2" t="s">
        <v>172</v>
      </c>
      <c r="B2" t="s">
        <v>71</v>
      </c>
      <c r="C2">
        <f>COUNTIF(datasheet!B:B,"id")</f>
        <v>87</v>
      </c>
      <c r="D2" s="14">
        <f>COUNTIF(datasheet!B:B,"au")</f>
        <v>57</v>
      </c>
      <c r="E2">
        <f>COUNTIF(datasheet!B:B,"jp")</f>
        <v>24</v>
      </c>
      <c r="F2">
        <f>COUNTIF(datasheet!B:B,"mi")</f>
        <v>17</v>
      </c>
      <c r="G2">
        <f>COUNTIF(datasheet!B:B,"hi")</f>
        <v>15</v>
      </c>
      <c r="H2">
        <f>COUNTIF(datasheet!B:B,"fp")</f>
        <v>15</v>
      </c>
      <c r="I2">
        <f>COUNTIF(datasheet!B:B,"fj")</f>
        <v>16</v>
      </c>
      <c r="J2" s="4">
        <f>SUM(C2:I2)</f>
        <v>231</v>
      </c>
      <c r="K2" s="1">
        <f>C2/$J$2</f>
        <v>0.37662337662337664</v>
      </c>
      <c r="L2" s="19">
        <f t="shared" ref="L2:Q2" si="0">D2/$J$2</f>
        <v>0.24675324675324675</v>
      </c>
      <c r="M2" s="1">
        <f t="shared" si="0"/>
        <v>0.1038961038961039</v>
      </c>
      <c r="N2" s="1">
        <f t="shared" si="0"/>
        <v>7.3593073593073599E-2</v>
      </c>
      <c r="O2" s="1">
        <f t="shared" si="0"/>
        <v>6.4935064935064929E-2</v>
      </c>
      <c r="P2" s="1">
        <f t="shared" si="0"/>
        <v>6.4935064935064929E-2</v>
      </c>
      <c r="Q2" s="1">
        <f t="shared" si="0"/>
        <v>6.9264069264069264E-2</v>
      </c>
      <c r="R2" s="1">
        <f>SUM(K2:Q2)</f>
        <v>1.0000000000000002</v>
      </c>
    </row>
    <row r="3" spans="1:19" x14ac:dyDescent="0.35">
      <c r="A3" t="s">
        <v>174</v>
      </c>
      <c r="B3" t="s">
        <v>114</v>
      </c>
      <c r="C3">
        <f>COUNTIFS(datasheet!B:B,"id",datasheet!D:D,"aus")</f>
        <v>2</v>
      </c>
      <c r="D3" s="14">
        <f>COUNTIFS(datasheet!B:B,"au",datasheet!D:D,"aus")</f>
        <v>53</v>
      </c>
      <c r="E3">
        <f>COUNTIFS(datasheet!B:B,"jp",datasheet!D:D,"aus")</f>
        <v>0</v>
      </c>
      <c r="F3">
        <f>COUNTIFS(datasheet!B:B,"mi",datasheet!D:D,"aus")</f>
        <v>0</v>
      </c>
      <c r="G3">
        <f>COUNTIFS(datasheet!B:B,"hi",datasheet!D:D,"aus")</f>
        <v>0</v>
      </c>
      <c r="H3">
        <f>COUNTIFS(datasheet!B:B,"fp",datasheet!D:D,"aus")</f>
        <v>0</v>
      </c>
      <c r="I3">
        <f>COUNTIFS(datasheet!B:B,"fj",datasheet!D:D,"aus")</f>
        <v>10</v>
      </c>
      <c r="J3" s="4">
        <f t="shared" ref="J3:J18" si="1">SUM(C3:I3)</f>
        <v>65</v>
      </c>
      <c r="K3" s="1">
        <f>C3/C$2</f>
        <v>2.2988505747126436E-2</v>
      </c>
      <c r="L3" s="19">
        <f t="shared" ref="L3:R18" si="2">D3/D$2</f>
        <v>0.92982456140350878</v>
      </c>
      <c r="M3" s="1">
        <f t="shared" si="2"/>
        <v>0</v>
      </c>
      <c r="N3" s="1">
        <f t="shared" si="2"/>
        <v>0</v>
      </c>
      <c r="O3" s="1">
        <f t="shared" si="2"/>
        <v>0</v>
      </c>
      <c r="P3" s="1">
        <f t="shared" si="2"/>
        <v>0</v>
      </c>
      <c r="Q3" s="1">
        <f t="shared" si="2"/>
        <v>0.625</v>
      </c>
      <c r="R3" s="1">
        <f t="shared" si="2"/>
        <v>0.2813852813852814</v>
      </c>
    </row>
    <row r="4" spans="1:19" x14ac:dyDescent="0.35">
      <c r="B4" t="s">
        <v>150</v>
      </c>
      <c r="C4">
        <f>COUNTIFS(datasheet!B:B,"id",datasheet!D:D,"eur")</f>
        <v>46</v>
      </c>
      <c r="D4" s="14">
        <f>COUNTIFS(datasheet!B:B,"au",datasheet!D:D,"eur")</f>
        <v>3</v>
      </c>
      <c r="E4">
        <f>COUNTIFS(datasheet!B:B,"jp",datasheet!D:D,"eur")</f>
        <v>1</v>
      </c>
      <c r="F4">
        <f>COUNTIFS(datasheet!B:B,"mi",datasheet!D:D,"eur")</f>
        <v>0</v>
      </c>
      <c r="G4">
        <f>COUNTIFS(datasheet!B:B,"hi",datasheet!D:D,"eur")</f>
        <v>0</v>
      </c>
      <c r="H4">
        <f>COUNTIFS(datasheet!B:B,"fp",datasheet!D:D,"eur")</f>
        <v>14</v>
      </c>
      <c r="I4">
        <f>COUNTIFS(datasheet!B:B,"fj",datasheet!D:D,"eur")</f>
        <v>0</v>
      </c>
      <c r="J4" s="4">
        <f t="shared" si="1"/>
        <v>64</v>
      </c>
      <c r="K4" s="1">
        <f t="shared" ref="K4:K8" si="3">C4/C$2</f>
        <v>0.52873563218390807</v>
      </c>
      <c r="L4" s="19">
        <f t="shared" si="2"/>
        <v>5.2631578947368418E-2</v>
      </c>
      <c r="M4" s="1">
        <f t="shared" si="2"/>
        <v>4.1666666666666664E-2</v>
      </c>
      <c r="N4" s="1">
        <f t="shared" si="2"/>
        <v>0</v>
      </c>
      <c r="O4" s="1">
        <f t="shared" si="2"/>
        <v>0</v>
      </c>
      <c r="P4" s="1">
        <f t="shared" si="2"/>
        <v>0.93333333333333335</v>
      </c>
      <c r="Q4" s="1">
        <f t="shared" si="2"/>
        <v>0</v>
      </c>
      <c r="R4" s="1">
        <f t="shared" si="2"/>
        <v>0.27705627705627706</v>
      </c>
    </row>
    <row r="5" spans="1:19" x14ac:dyDescent="0.35">
      <c r="B5" t="s">
        <v>125</v>
      </c>
      <c r="C5">
        <f>COUNTIFS(datasheet!B:B,"id",datasheet!D:D,"idn")</f>
        <v>25</v>
      </c>
      <c r="D5" s="14">
        <f>COUNTIFS(datasheet!B:B,"au",datasheet!D:D,"idn")</f>
        <v>0</v>
      </c>
      <c r="E5">
        <f>COUNTIFS(datasheet!B:B,"jp",datasheet!D:D,"idn")</f>
        <v>0</v>
      </c>
      <c r="F5">
        <f>COUNTIFS(datasheet!B:B,"mi",datasheet!D:D,"idn")</f>
        <v>0</v>
      </c>
      <c r="G5">
        <f>COUNTIFS(datasheet!B:B,"hi",datasheet!D:D,"idn")</f>
        <v>0</v>
      </c>
      <c r="H5">
        <f>COUNTIFS(datasheet!B:B,"fp",datasheet!D:D,"idn")</f>
        <v>0</v>
      </c>
      <c r="I5">
        <f>COUNTIFS(datasheet!B:B,"fj",datasheet!D:D,"idn")</f>
        <v>0</v>
      </c>
      <c r="J5" s="4">
        <f t="shared" si="1"/>
        <v>25</v>
      </c>
      <c r="K5" s="1">
        <f t="shared" si="3"/>
        <v>0.28735632183908044</v>
      </c>
      <c r="L5" s="19">
        <f t="shared" si="2"/>
        <v>0</v>
      </c>
      <c r="M5" s="1">
        <f t="shared" si="2"/>
        <v>0</v>
      </c>
      <c r="N5" s="1">
        <f t="shared" si="2"/>
        <v>0</v>
      </c>
      <c r="O5" s="1">
        <f t="shared" si="2"/>
        <v>0</v>
      </c>
      <c r="P5" s="1">
        <f t="shared" si="2"/>
        <v>0</v>
      </c>
      <c r="Q5" s="1">
        <f t="shared" si="2"/>
        <v>0</v>
      </c>
      <c r="R5" s="1">
        <f t="shared" si="2"/>
        <v>0.10822510822510822</v>
      </c>
    </row>
    <row r="6" spans="1:19" x14ac:dyDescent="0.35">
      <c r="B6" t="s">
        <v>124</v>
      </c>
      <c r="C6">
        <f>COUNTIFS(datasheet!B:B,"id",datasheet!D:D,"jpn")</f>
        <v>2</v>
      </c>
      <c r="D6" s="14">
        <f>COUNTIFS(datasheet!B:B,"au",datasheet!D:D,"jpn")</f>
        <v>0</v>
      </c>
      <c r="E6">
        <f>COUNTIFS(datasheet!B:B,"jp",datasheet!D:D,"jpn")</f>
        <v>19</v>
      </c>
      <c r="F6">
        <f>COUNTIFS(datasheet!B:B,"mi",datasheet!D:D,"jpn")</f>
        <v>7</v>
      </c>
      <c r="G6">
        <f>COUNTIFS(datasheet!B:B,"hi",datasheet!D:D,"jpn")</f>
        <v>0</v>
      </c>
      <c r="H6">
        <f>COUNTIFS(datasheet!B:B,"fp",datasheet!D:D,"jpn")</f>
        <v>1</v>
      </c>
      <c r="I6">
        <f>COUNTIFS(datasheet!B:B,"fj",datasheet!D:D,"jpn")</f>
        <v>0</v>
      </c>
      <c r="J6" s="4">
        <f t="shared" si="1"/>
        <v>29</v>
      </c>
      <c r="K6" s="1">
        <f t="shared" si="3"/>
        <v>2.2988505747126436E-2</v>
      </c>
      <c r="L6" s="19">
        <f t="shared" si="2"/>
        <v>0</v>
      </c>
      <c r="M6" s="1">
        <f t="shared" si="2"/>
        <v>0.79166666666666663</v>
      </c>
      <c r="N6" s="1">
        <f t="shared" si="2"/>
        <v>0.41176470588235292</v>
      </c>
      <c r="O6" s="1">
        <f t="shared" si="2"/>
        <v>0</v>
      </c>
      <c r="P6" s="1">
        <f t="shared" si="2"/>
        <v>6.6666666666666666E-2</v>
      </c>
      <c r="Q6" s="1">
        <f t="shared" si="2"/>
        <v>0</v>
      </c>
      <c r="R6" s="1">
        <f t="shared" si="2"/>
        <v>0.12554112554112554</v>
      </c>
    </row>
    <row r="7" spans="1:19" x14ac:dyDescent="0.35">
      <c r="B7" t="s">
        <v>151</v>
      </c>
      <c r="C7">
        <f>COUNTIFS(datasheet!B:B,"id",datasheet!D:D,"nam")</f>
        <v>6</v>
      </c>
      <c r="D7" s="14">
        <f>COUNTIFS(datasheet!B:B,"au",datasheet!D:D,"nam")</f>
        <v>1</v>
      </c>
      <c r="E7">
        <f>COUNTIFS(datasheet!B:B,"jp",datasheet!D:D,"nam")</f>
        <v>2</v>
      </c>
      <c r="F7">
        <f>COUNTIFS(datasheet!B:B,"mi",datasheet!D:D,"nam")</f>
        <v>8</v>
      </c>
      <c r="G7">
        <f>COUNTIFS(datasheet!B:B,"hi",datasheet!D:D,"nam")</f>
        <v>15</v>
      </c>
      <c r="H7">
        <f>COUNTIFS(datasheet!B:B,"fp",datasheet!D:D,"nam")</f>
        <v>0</v>
      </c>
      <c r="I7">
        <f>COUNTIFS(datasheet!B:B,"fj",datasheet!D:D,"nam")</f>
        <v>1</v>
      </c>
      <c r="J7" s="4">
        <f t="shared" si="1"/>
        <v>33</v>
      </c>
      <c r="K7" s="1">
        <f t="shared" si="3"/>
        <v>6.8965517241379309E-2</v>
      </c>
      <c r="L7" s="19">
        <f t="shared" si="2"/>
        <v>1.7543859649122806E-2</v>
      </c>
      <c r="M7" s="1">
        <f t="shared" si="2"/>
        <v>8.3333333333333329E-2</v>
      </c>
      <c r="N7" s="1">
        <f t="shared" si="2"/>
        <v>0.47058823529411764</v>
      </c>
      <c r="O7" s="1">
        <f t="shared" si="2"/>
        <v>1</v>
      </c>
      <c r="P7" s="1">
        <f t="shared" si="2"/>
        <v>0</v>
      </c>
      <c r="Q7" s="1">
        <f t="shared" si="2"/>
        <v>6.25E-2</v>
      </c>
      <c r="R7" s="1">
        <f t="shared" si="2"/>
        <v>0.14285714285714285</v>
      </c>
    </row>
    <row r="8" spans="1:19" x14ac:dyDescent="0.35">
      <c r="B8" t="s">
        <v>137</v>
      </c>
      <c r="C8">
        <f>COUNTIFS(datasheet!B:B,"id",datasheet!D:D,"other")</f>
        <v>6</v>
      </c>
      <c r="D8" s="14">
        <f>COUNTIFS(datasheet!B:B,"au",datasheet!D:D,"other")</f>
        <v>0</v>
      </c>
      <c r="E8">
        <f>COUNTIFS(datasheet!B:B,"jp",datasheet!D:D,"other")</f>
        <v>2</v>
      </c>
      <c r="F8">
        <f>COUNTIFS(datasheet!B:B,"mi",datasheet!D:D,"other")</f>
        <v>2</v>
      </c>
      <c r="G8">
        <f>COUNTIFS(datasheet!B:B,"hi",datasheet!D:D,"other")</f>
        <v>0</v>
      </c>
      <c r="H8">
        <f>COUNTIFS(datasheet!B:B,"fp",datasheet!D:D,"other")</f>
        <v>0</v>
      </c>
      <c r="I8">
        <f>COUNTIFS(datasheet!B:B,"fj",datasheet!D:D,"other")</f>
        <v>5</v>
      </c>
      <c r="J8" s="4">
        <f t="shared" si="1"/>
        <v>15</v>
      </c>
      <c r="K8" s="1">
        <f t="shared" si="3"/>
        <v>6.8965517241379309E-2</v>
      </c>
      <c r="L8" s="19">
        <f t="shared" si="2"/>
        <v>0</v>
      </c>
      <c r="M8" s="1">
        <f t="shared" si="2"/>
        <v>8.3333333333333329E-2</v>
      </c>
      <c r="N8" s="1">
        <f t="shared" si="2"/>
        <v>0.11764705882352941</v>
      </c>
      <c r="O8" s="1">
        <f t="shared" si="2"/>
        <v>0</v>
      </c>
      <c r="P8" s="1">
        <f t="shared" si="2"/>
        <v>0</v>
      </c>
      <c r="Q8" s="1">
        <f t="shared" si="2"/>
        <v>0.3125</v>
      </c>
      <c r="R8" s="1">
        <f t="shared" si="2"/>
        <v>6.4935064935064929E-2</v>
      </c>
      <c r="S8" s="1"/>
    </row>
    <row r="9" spans="1:19" x14ac:dyDescent="0.35">
      <c r="A9" t="s">
        <v>175</v>
      </c>
      <c r="B9" t="s">
        <v>120</v>
      </c>
      <c r="C9">
        <f>COUNTIFS(datasheet!B:B,"id",datasheet!F:F,0)</f>
        <v>21</v>
      </c>
      <c r="D9" s="14">
        <f>COUNTIFS(datasheet!B:B,"au",datasheet!F:F,0)</f>
        <v>24</v>
      </c>
      <c r="E9">
        <f>COUNTIFS(datasheet!B:B,"jp",datasheet!F:F,0)</f>
        <v>3</v>
      </c>
      <c r="F9">
        <f>COUNTIFS(datasheet!B:B,"mi",datasheet!F:F,0)</f>
        <v>3</v>
      </c>
      <c r="G9">
        <f>COUNTIFS(datasheet!B:B,"hi",datasheet!F:F,0)</f>
        <v>5</v>
      </c>
      <c r="H9">
        <f>COUNTIFS(datasheet!B:B,"fp",datasheet!F:F,0)</f>
        <v>4</v>
      </c>
      <c r="I9">
        <f>COUNTIFS(datasheet!B:B,"fj",datasheet!F:F,0)</f>
        <v>3</v>
      </c>
      <c r="J9" s="4">
        <f t="shared" si="1"/>
        <v>63</v>
      </c>
      <c r="K9" s="1">
        <f>C9/C$2</f>
        <v>0.2413793103448276</v>
      </c>
      <c r="L9" s="19">
        <f t="shared" si="2"/>
        <v>0.42105263157894735</v>
      </c>
      <c r="M9" s="1">
        <f t="shared" si="2"/>
        <v>0.125</v>
      </c>
      <c r="N9" s="1">
        <f t="shared" si="2"/>
        <v>0.17647058823529413</v>
      </c>
      <c r="O9" s="1">
        <f t="shared" si="2"/>
        <v>0.33333333333333331</v>
      </c>
      <c r="P9" s="1">
        <f t="shared" si="2"/>
        <v>0.26666666666666666</v>
      </c>
      <c r="Q9" s="1">
        <f t="shared" si="2"/>
        <v>0.1875</v>
      </c>
      <c r="R9" s="1">
        <f t="shared" si="2"/>
        <v>0.27272727272727271</v>
      </c>
    </row>
    <row r="10" spans="1:19" x14ac:dyDescent="0.35">
      <c r="B10" t="s">
        <v>122</v>
      </c>
      <c r="C10">
        <f>COUNTIFS(datasheet!B:B,"id",datasheet!F:F,1)</f>
        <v>66</v>
      </c>
      <c r="D10" s="14">
        <f>COUNTIFS(datasheet!B:B,"au",datasheet!F:F,1)</f>
        <v>33</v>
      </c>
      <c r="E10">
        <f>COUNTIFS(datasheet!B:B,"jp",datasheet!F:F,1)</f>
        <v>21</v>
      </c>
      <c r="F10">
        <f>COUNTIFS(datasheet!B:B,"mi",datasheet!F:F,1)</f>
        <v>14</v>
      </c>
      <c r="G10">
        <f>COUNTIFS(datasheet!B:B,"hi",datasheet!F:F,1)</f>
        <v>10</v>
      </c>
      <c r="H10">
        <f>COUNTIFS(datasheet!B:B,"fp",datasheet!F:F,1)</f>
        <v>11</v>
      </c>
      <c r="I10">
        <f>COUNTIFS(datasheet!B:B,"fj",datasheet!F:F,1)</f>
        <v>13</v>
      </c>
      <c r="J10" s="4">
        <f t="shared" si="1"/>
        <v>168</v>
      </c>
      <c r="K10" s="1">
        <f>C10/C$2</f>
        <v>0.75862068965517238</v>
      </c>
      <c r="L10" s="19">
        <f t="shared" si="2"/>
        <v>0.57894736842105265</v>
      </c>
      <c r="M10" s="1">
        <f t="shared" si="2"/>
        <v>0.875</v>
      </c>
      <c r="N10" s="1">
        <f t="shared" si="2"/>
        <v>0.82352941176470584</v>
      </c>
      <c r="O10" s="1">
        <f t="shared" si="2"/>
        <v>0.66666666666666663</v>
      </c>
      <c r="P10" s="1">
        <f t="shared" si="2"/>
        <v>0.73333333333333328</v>
      </c>
      <c r="Q10" s="1">
        <f t="shared" si="2"/>
        <v>0.8125</v>
      </c>
      <c r="R10" s="1">
        <f t="shared" si="2"/>
        <v>0.72727272727272729</v>
      </c>
    </row>
    <row r="11" spans="1:19" x14ac:dyDescent="0.35">
      <c r="A11" t="s">
        <v>176</v>
      </c>
      <c r="B11" t="s">
        <v>123</v>
      </c>
      <c r="C11">
        <f>COUNTIFS(datasheet!B:B,"id",datasheet!E:E,"18 - 24")</f>
        <v>0</v>
      </c>
      <c r="D11" s="14">
        <f>COUNTIFS(datasheet!B:B,"au",datasheet!E:E,"18 - 24")</f>
        <v>2</v>
      </c>
      <c r="E11">
        <f>COUNTIFS(datasheet!B:B,"jp",datasheet!E:E,"18 - 24")</f>
        <v>0</v>
      </c>
      <c r="F11">
        <f>COUNTIFS(datasheet!B:B,"mi",datasheet!E:E,"18 - 24")</f>
        <v>0</v>
      </c>
      <c r="G11">
        <f>COUNTIFS(datasheet!B:B,"hi",datasheet!E:E,"18 - 24")</f>
        <v>0</v>
      </c>
      <c r="H11">
        <f>COUNTIFS(datasheet!B:B,"fp",datasheet!E:E,"18 - 24")</f>
        <v>0</v>
      </c>
      <c r="I11">
        <f>COUNTIFS(datasheet!B:B,"fj",datasheet!E:E,"18 - 24")</f>
        <v>0</v>
      </c>
      <c r="J11" s="4">
        <f t="shared" si="1"/>
        <v>2</v>
      </c>
      <c r="K11" s="1">
        <f>C11/C$2</f>
        <v>0</v>
      </c>
      <c r="L11" s="19">
        <f t="shared" si="2"/>
        <v>3.5087719298245612E-2</v>
      </c>
      <c r="M11" s="1">
        <f t="shared" si="2"/>
        <v>0</v>
      </c>
      <c r="N11" s="1">
        <f t="shared" si="2"/>
        <v>0</v>
      </c>
      <c r="O11" s="1">
        <f t="shared" si="2"/>
        <v>0</v>
      </c>
      <c r="P11" s="1">
        <f t="shared" si="2"/>
        <v>0</v>
      </c>
      <c r="Q11" s="1">
        <f t="shared" si="2"/>
        <v>0</v>
      </c>
      <c r="R11" s="1">
        <f t="shared" si="2"/>
        <v>8.658008658008658E-3</v>
      </c>
    </row>
    <row r="12" spans="1:19" x14ac:dyDescent="0.35">
      <c r="B12" t="s">
        <v>121</v>
      </c>
      <c r="C12">
        <f>COUNTIFS(datasheet!B:B,"id",datasheet!E:E,"25 - 34")</f>
        <v>12</v>
      </c>
      <c r="D12" s="14">
        <f>COUNTIFS(datasheet!B:B,"au",datasheet!E:E,"25 - 34")</f>
        <v>5</v>
      </c>
      <c r="E12">
        <f>COUNTIFS(datasheet!B:B,"jp",datasheet!E:E,"25 - 34")</f>
        <v>2</v>
      </c>
      <c r="F12">
        <f>COUNTIFS(datasheet!B:B,"mi",datasheet!E:E,"25 - 34")</f>
        <v>1</v>
      </c>
      <c r="G12">
        <f>COUNTIFS(datasheet!B:B,"hi",datasheet!E:E,"25 - 34")</f>
        <v>3</v>
      </c>
      <c r="H12">
        <f>COUNTIFS(datasheet!B:B,"fp",datasheet!E:E,"25 - 34")</f>
        <v>1</v>
      </c>
      <c r="I12">
        <f>COUNTIFS(datasheet!B:B,"fj",datasheet!E:E,"25 - 34")</f>
        <v>2</v>
      </c>
      <c r="J12" s="4">
        <f t="shared" si="1"/>
        <v>26</v>
      </c>
      <c r="K12" s="1">
        <f t="shared" ref="K12:K18" si="4">C12/C$2</f>
        <v>0.13793103448275862</v>
      </c>
      <c r="L12" s="19">
        <f t="shared" si="2"/>
        <v>8.771929824561403E-2</v>
      </c>
      <c r="M12" s="1">
        <f t="shared" si="2"/>
        <v>8.3333333333333329E-2</v>
      </c>
      <c r="N12" s="1">
        <f t="shared" si="2"/>
        <v>5.8823529411764705E-2</v>
      </c>
      <c r="O12" s="1">
        <f t="shared" si="2"/>
        <v>0.2</v>
      </c>
      <c r="P12" s="1">
        <f t="shared" si="2"/>
        <v>6.6666666666666666E-2</v>
      </c>
      <c r="Q12" s="1">
        <f t="shared" si="2"/>
        <v>0.125</v>
      </c>
      <c r="R12" s="1">
        <f t="shared" si="2"/>
        <v>0.11255411255411256</v>
      </c>
    </row>
    <row r="13" spans="1:19" x14ac:dyDescent="0.35">
      <c r="B13" t="s">
        <v>115</v>
      </c>
      <c r="C13">
        <f>COUNTIFS(datasheet!B:B,"id",datasheet!E:E,"35 - 44")</f>
        <v>41</v>
      </c>
      <c r="D13" s="14">
        <f>COUNTIFS(datasheet!B:B,"au",datasheet!E:E,"35 - 44")</f>
        <v>19</v>
      </c>
      <c r="E13">
        <f>COUNTIFS(datasheet!B:B,"jp",datasheet!E:E,"35 - 44")</f>
        <v>15</v>
      </c>
      <c r="F13">
        <f>COUNTIFS(datasheet!B:B,"mi",datasheet!E:E,"35 - 44")</f>
        <v>5</v>
      </c>
      <c r="G13">
        <f>COUNTIFS(datasheet!B:B,"hi",datasheet!E:E,"35 - 44")</f>
        <v>6</v>
      </c>
      <c r="H13">
        <f>COUNTIFS(datasheet!B:B,"fp",datasheet!E:E,"35 - 44")</f>
        <v>4</v>
      </c>
      <c r="I13">
        <f>COUNTIFS(datasheet!B:B,"fj",datasheet!E:E,"35 - 44")</f>
        <v>2</v>
      </c>
      <c r="J13" s="4">
        <f t="shared" si="1"/>
        <v>92</v>
      </c>
      <c r="K13" s="1">
        <f t="shared" si="4"/>
        <v>0.47126436781609193</v>
      </c>
      <c r="L13" s="19">
        <f t="shared" si="2"/>
        <v>0.33333333333333331</v>
      </c>
      <c r="M13" s="1">
        <f t="shared" si="2"/>
        <v>0.625</v>
      </c>
      <c r="N13" s="1">
        <f t="shared" si="2"/>
        <v>0.29411764705882354</v>
      </c>
      <c r="O13" s="1">
        <f t="shared" si="2"/>
        <v>0.4</v>
      </c>
      <c r="P13" s="1">
        <f t="shared" si="2"/>
        <v>0.26666666666666666</v>
      </c>
      <c r="Q13" s="1">
        <f t="shared" si="2"/>
        <v>0.125</v>
      </c>
      <c r="R13" s="1">
        <f t="shared" si="2"/>
        <v>0.39826839826839827</v>
      </c>
    </row>
    <row r="14" spans="1:19" x14ac:dyDescent="0.35">
      <c r="B14" t="s">
        <v>117</v>
      </c>
      <c r="C14">
        <f>COUNTIFS(datasheet!B:B,"id",datasheet!E:E,"45 - 54")</f>
        <v>27</v>
      </c>
      <c r="D14" s="14">
        <f>COUNTIFS(datasheet!B:B,"au",datasheet!E:E,"45 - 54")</f>
        <v>14</v>
      </c>
      <c r="E14">
        <f>COUNTIFS(datasheet!B:B,"jp",datasheet!E:E,"45 - 54")</f>
        <v>6</v>
      </c>
      <c r="F14">
        <f>COUNTIFS(datasheet!B:B,"mi",datasheet!E:E,"45 - 54")</f>
        <v>4</v>
      </c>
      <c r="G14">
        <f>COUNTIFS(datasheet!B:B,"hi",datasheet!E:E,"45 - 54")</f>
        <v>0</v>
      </c>
      <c r="H14">
        <f>COUNTIFS(datasheet!B:B,"fp",datasheet!E:E,"45 - 54")</f>
        <v>9</v>
      </c>
      <c r="I14">
        <f>COUNTIFS(datasheet!B:B,"fj",datasheet!E:E,"45 - 54")</f>
        <v>2</v>
      </c>
      <c r="J14" s="4">
        <f t="shared" si="1"/>
        <v>62</v>
      </c>
      <c r="K14" s="1">
        <f t="shared" si="4"/>
        <v>0.31034482758620691</v>
      </c>
      <c r="L14" s="19">
        <f t="shared" si="2"/>
        <v>0.24561403508771928</v>
      </c>
      <c r="M14" s="1">
        <f t="shared" si="2"/>
        <v>0.25</v>
      </c>
      <c r="N14" s="1">
        <f t="shared" si="2"/>
        <v>0.23529411764705882</v>
      </c>
      <c r="O14" s="1">
        <f t="shared" si="2"/>
        <v>0</v>
      </c>
      <c r="P14" s="1">
        <f t="shared" si="2"/>
        <v>0.6</v>
      </c>
      <c r="Q14" s="1">
        <f t="shared" si="2"/>
        <v>0.125</v>
      </c>
      <c r="R14" s="1">
        <f t="shared" si="2"/>
        <v>0.26839826839826841</v>
      </c>
    </row>
    <row r="15" spans="1:19" x14ac:dyDescent="0.35">
      <c r="B15" t="s">
        <v>118</v>
      </c>
      <c r="C15">
        <f>COUNTIFS(datasheet!B:B,"id",datasheet!E:E,"55 - 64")</f>
        <v>6</v>
      </c>
      <c r="D15" s="14">
        <f>COUNTIFS(datasheet!B:B,"au",datasheet!E:E,"55 - 64")</f>
        <v>14</v>
      </c>
      <c r="E15">
        <f>COUNTIFS(datasheet!B:B,"jp",datasheet!E:E,"55 - 64")</f>
        <v>1</v>
      </c>
      <c r="F15">
        <f>COUNTIFS(datasheet!B:B,"mi",datasheet!E:E,"55 - 64")</f>
        <v>6</v>
      </c>
      <c r="G15">
        <f>COUNTIFS(datasheet!B:B,"hi",datasheet!E:E,"55 - 64")</f>
        <v>6</v>
      </c>
      <c r="H15">
        <f>COUNTIFS(datasheet!B:B,"fp",datasheet!E:E,"55 - 64")</f>
        <v>1</v>
      </c>
      <c r="I15">
        <f>COUNTIFS(datasheet!B:B,"fj",datasheet!E:E,"55 - 64")</f>
        <v>7</v>
      </c>
      <c r="J15" s="4">
        <f t="shared" si="1"/>
        <v>41</v>
      </c>
      <c r="K15" s="1">
        <f t="shared" si="4"/>
        <v>6.8965517241379309E-2</v>
      </c>
      <c r="L15" s="19">
        <f t="shared" si="2"/>
        <v>0.24561403508771928</v>
      </c>
      <c r="M15" s="1">
        <f t="shared" si="2"/>
        <v>4.1666666666666664E-2</v>
      </c>
      <c r="N15" s="1">
        <f t="shared" si="2"/>
        <v>0.35294117647058826</v>
      </c>
      <c r="O15" s="1">
        <f t="shared" si="2"/>
        <v>0.4</v>
      </c>
      <c r="P15" s="1">
        <f t="shared" si="2"/>
        <v>6.6666666666666666E-2</v>
      </c>
      <c r="Q15" s="1">
        <f t="shared" si="2"/>
        <v>0.4375</v>
      </c>
      <c r="R15" s="1">
        <f t="shared" si="2"/>
        <v>0.1774891774891775</v>
      </c>
    </row>
    <row r="16" spans="1:19" x14ac:dyDescent="0.35">
      <c r="B16" t="s">
        <v>116</v>
      </c>
      <c r="C16">
        <f>COUNTIFS(datasheet!B:B,"id",datasheet!E:E,"65+")</f>
        <v>1</v>
      </c>
      <c r="D16" s="14">
        <f>COUNTIFS(datasheet!B:B,"au",datasheet!E:E,"65+")</f>
        <v>3</v>
      </c>
      <c r="E16">
        <f>COUNTIFS(datasheet!B:B,"jp",datasheet!E:E,"65+")</f>
        <v>0</v>
      </c>
      <c r="F16">
        <f>COUNTIFS(datasheet!B:B,"mi",datasheet!E:E,"65+")</f>
        <v>1</v>
      </c>
      <c r="G16">
        <f>COUNTIFS(datasheet!B:B,"hi",datasheet!E:E,"65+")</f>
        <v>0</v>
      </c>
      <c r="H16">
        <f>COUNTIFS(datasheet!B:B,"fp",datasheet!E:E,"65+")</f>
        <v>0</v>
      </c>
      <c r="I16">
        <f>COUNTIFS(datasheet!B:B,"fj",datasheet!E:E,"65+")</f>
        <v>3</v>
      </c>
      <c r="J16" s="4">
        <f t="shared" si="1"/>
        <v>8</v>
      </c>
      <c r="K16" s="1">
        <f t="shared" si="4"/>
        <v>1.1494252873563218E-2</v>
      </c>
      <c r="L16" s="19">
        <f t="shared" si="2"/>
        <v>5.2631578947368418E-2</v>
      </c>
      <c r="M16" s="1">
        <f t="shared" si="2"/>
        <v>0</v>
      </c>
      <c r="N16" s="1">
        <f t="shared" si="2"/>
        <v>5.8823529411764705E-2</v>
      </c>
      <c r="O16" s="1">
        <f t="shared" si="2"/>
        <v>0</v>
      </c>
      <c r="P16" s="1">
        <f t="shared" si="2"/>
        <v>0</v>
      </c>
      <c r="Q16" s="1">
        <f t="shared" si="2"/>
        <v>0.1875</v>
      </c>
      <c r="R16" s="1">
        <f t="shared" si="2"/>
        <v>3.4632034632034632E-2</v>
      </c>
    </row>
    <row r="17" spans="1:18" x14ac:dyDescent="0.35">
      <c r="A17" t="s">
        <v>177</v>
      </c>
      <c r="B17" t="s">
        <v>182</v>
      </c>
      <c r="C17">
        <f>COUNTIFS(datasheet!B:B,"id",datasheet!G:G,0)</f>
        <v>87</v>
      </c>
      <c r="D17" s="14">
        <f>COUNTIFS(datasheet!B:B,"au",datasheet!G:G,0)</f>
        <v>44</v>
      </c>
      <c r="E17">
        <f>COUNTIFS(datasheet!B:B,"jp",datasheet!G:G,0)</f>
        <v>24</v>
      </c>
      <c r="F17">
        <f>COUNTIFS(datasheet!B:B,"mi",datasheet!G:G,0)</f>
        <v>17</v>
      </c>
      <c r="G17">
        <f>COUNTIFS(datasheet!B:B,"hi",datasheet!G:G,0)</f>
        <v>15</v>
      </c>
      <c r="H17">
        <f>COUNTIFS(datasheet!B:B,"fp",datasheet!G:G,0)</f>
        <v>15</v>
      </c>
      <c r="I17">
        <f>COUNTIFS(datasheet!B:B,"fj",datasheet!G:G,0)</f>
        <v>0</v>
      </c>
      <c r="J17" s="4">
        <f t="shared" si="1"/>
        <v>202</v>
      </c>
      <c r="K17" s="1">
        <f t="shared" si="4"/>
        <v>1</v>
      </c>
      <c r="L17" s="19">
        <f t="shared" si="2"/>
        <v>0.77192982456140347</v>
      </c>
      <c r="M17" s="1">
        <f t="shared" si="2"/>
        <v>1</v>
      </c>
      <c r="N17" s="1">
        <f t="shared" si="2"/>
        <v>1</v>
      </c>
      <c r="O17" s="1">
        <f t="shared" si="2"/>
        <v>1</v>
      </c>
      <c r="P17" s="1">
        <f t="shared" si="2"/>
        <v>1</v>
      </c>
      <c r="Q17" s="1">
        <f t="shared" si="2"/>
        <v>0</v>
      </c>
      <c r="R17" s="1">
        <f t="shared" si="2"/>
        <v>0.87445887445887449</v>
      </c>
    </row>
    <row r="18" spans="1:18" x14ac:dyDescent="0.35">
      <c r="B18" t="s">
        <v>72</v>
      </c>
      <c r="C18">
        <f>COUNTIFS(datasheet!B:B,"id",datasheet!G:G,1)</f>
        <v>0</v>
      </c>
      <c r="D18" s="14">
        <f>COUNTIFS(datasheet!B:B,"au",datasheet!G:G,1)</f>
        <v>13</v>
      </c>
      <c r="E18">
        <f>COUNTIFS(datasheet!B:B,"jp",datasheet!G:G,1)</f>
        <v>0</v>
      </c>
      <c r="F18">
        <f>COUNTIFS(datasheet!B:B,"mi",datasheet!G:G,1)</f>
        <v>0</v>
      </c>
      <c r="G18">
        <f>COUNTIFS(datasheet!B:B,"hi",datasheet!G:G,1)</f>
        <v>0</v>
      </c>
      <c r="H18">
        <f>COUNTIFS(datasheet!B:B,"fp",datasheet!G:G,1)</f>
        <v>0</v>
      </c>
      <c r="I18">
        <f>COUNTIFS(datasheet!B:B,"fj",datasheet!G:G,1)</f>
        <v>16</v>
      </c>
      <c r="J18" s="4">
        <f t="shared" si="1"/>
        <v>29</v>
      </c>
      <c r="K18" s="1">
        <f t="shared" si="4"/>
        <v>0</v>
      </c>
      <c r="L18" s="19">
        <f t="shared" si="2"/>
        <v>0.22807017543859648</v>
      </c>
      <c r="M18" s="1">
        <f t="shared" si="2"/>
        <v>0</v>
      </c>
      <c r="N18" s="1">
        <f t="shared" si="2"/>
        <v>0</v>
      </c>
      <c r="O18" s="1">
        <f t="shared" si="2"/>
        <v>0</v>
      </c>
      <c r="P18" s="1">
        <f t="shared" si="2"/>
        <v>0</v>
      </c>
      <c r="Q18" s="1">
        <f t="shared" si="2"/>
        <v>1</v>
      </c>
      <c r="R18" s="1">
        <f t="shared" si="2"/>
        <v>0.12554112554112554</v>
      </c>
    </row>
    <row r="19" spans="1:18" x14ac:dyDescent="0.35">
      <c r="A19" t="s">
        <v>178</v>
      </c>
      <c r="B19" s="31" t="s">
        <v>179</v>
      </c>
      <c r="C19" s="1">
        <f>AVERAGEIF(datasheet!B:B,"id",datasheet!H:H)</f>
        <v>0.28160919540229884</v>
      </c>
      <c r="D19" s="19">
        <f>AVERAGEIF(datasheet!B:B,"au",datasheet!H:H)</f>
        <v>0.40350877192982454</v>
      </c>
      <c r="E19" s="1">
        <f>AVERAGEIF(datasheet!B:B,"jp",datasheet!H:H)</f>
        <v>0.42708333333333331</v>
      </c>
      <c r="F19" s="1">
        <f>AVERAGEIF(datasheet!B:B,"mi",datasheet!H:H)</f>
        <v>0.36764705882352944</v>
      </c>
      <c r="G19" s="1">
        <f>AVERAGEIF(datasheet!B:B,"hi",datasheet!H:H)</f>
        <v>0.48333333333333334</v>
      </c>
      <c r="H19" s="1">
        <f>AVERAGEIF(datasheet!B:B,"fp",datasheet!H:H)</f>
        <v>0.45</v>
      </c>
      <c r="I19" s="1">
        <f>AVERAGEIF(datasheet!B:B,"fj",datasheet!H:H)</f>
        <v>0.421875</v>
      </c>
      <c r="J19" s="30">
        <f>AVERAGE(datasheet!H:H)</f>
        <v>0.36688311688311687</v>
      </c>
      <c r="K19" s="25"/>
      <c r="L19" s="17"/>
      <c r="M19" s="25"/>
      <c r="N19" s="25"/>
      <c r="O19" s="25"/>
      <c r="P19" s="25"/>
      <c r="Q19" s="25"/>
      <c r="R19" s="25"/>
    </row>
    <row r="20" spans="1:18" x14ac:dyDescent="0.35">
      <c r="B20" s="31" t="s">
        <v>180</v>
      </c>
      <c r="C20" s="1">
        <f t="array" ref="C20">STDEV(IF(datasheet!B:B="id",datasheet!H:H))</f>
        <v>0.27440368142497223</v>
      </c>
      <c r="D20" s="19">
        <f t="array" ref="D20">STDEV(IF(datasheet!B:B="au",datasheet!H:H))</f>
        <v>0.39175197705796205</v>
      </c>
      <c r="E20" s="1">
        <f t="array" ref="E20">STDEV(IF(datasheet!B:B="jp",datasheet!H:H))</f>
        <v>0.34952737240160603</v>
      </c>
      <c r="F20" s="1">
        <f t="array" ref="F20">STDEV(IF(datasheet!B:B="mi",datasheet!H:H))</f>
        <v>0.32012750217227326</v>
      </c>
      <c r="G20" s="1">
        <f t="array" ref="G20">STDEV(IF(datasheet!B:B="hi",datasheet!H:H))</f>
        <v>0.43779751788545657</v>
      </c>
      <c r="H20" s="1">
        <f t="array" ref="H20">STDEV(IF(datasheet!B:B="fp",datasheet!H:H))</f>
        <v>0.42468475703413566</v>
      </c>
      <c r="I20" s="1">
        <f t="array" ref="I20">STDEV(IF(datasheet!B:B="fj",datasheet!H:H))</f>
        <v>0.3125</v>
      </c>
      <c r="J20" s="30">
        <f>STDEV(datasheet!H:H)</f>
        <v>0.34480086152013223</v>
      </c>
      <c r="K20" s="25"/>
      <c r="L20" s="17"/>
      <c r="M20" s="25"/>
      <c r="N20" s="25"/>
      <c r="O20" s="25"/>
      <c r="P20" s="25"/>
      <c r="Q20" s="25"/>
      <c r="R20" s="25"/>
    </row>
    <row r="21" spans="1:18" x14ac:dyDescent="0.35">
      <c r="A21" t="s">
        <v>181</v>
      </c>
      <c r="B21" s="31" t="s">
        <v>179</v>
      </c>
      <c r="C21" s="3">
        <f>AVERAGEIF(datasheet!B:B,"id",datasheet!AA:AA)</f>
        <v>71.183908045977006</v>
      </c>
      <c r="D21" s="6">
        <f>AVERAGEIF(datasheet!B:B,"au",datasheet!AA:AA)</f>
        <v>44.649122807017541</v>
      </c>
      <c r="E21" s="3">
        <f>AVERAGEIF(datasheet!B:B,"jp",datasheet!AA:AA)</f>
        <v>33.541666666666664</v>
      </c>
      <c r="F21" s="3">
        <f>AVERAGEIF(datasheet!B:B,"mi",datasheet!AA:AA)</f>
        <v>9.9411764705882355</v>
      </c>
      <c r="G21" s="3">
        <f>AVERAGEIF(datasheet!B:B,"hi",datasheet!AA:AA)</f>
        <v>33.466666666666669</v>
      </c>
      <c r="H21" s="3">
        <f>AVERAGEIF(datasheet!B:B,"fp",datasheet!AA:AA)</f>
        <v>14.933333333333334</v>
      </c>
      <c r="I21" s="3">
        <f>AVERAGEIF(datasheet!B:B,"fj",datasheet!AA:AA)</f>
        <v>60.375</v>
      </c>
      <c r="J21" s="5">
        <f>AVERAGE(datasheet!AA:AA)</f>
        <v>49.367965367965368</v>
      </c>
    </row>
    <row r="22" spans="1:18" x14ac:dyDescent="0.35">
      <c r="B22" s="31" t="s">
        <v>180</v>
      </c>
      <c r="C22" s="3">
        <f t="array" ref="C22">STDEV(IF(datasheet!B:B="id",datasheet!AA:AA))</f>
        <v>36.98539269659954</v>
      </c>
      <c r="D22" s="6">
        <f t="array" ref="D22">STDEV(IF(datasheet!B:B="au",datasheet!AA:AA))</f>
        <v>48.638055070104379</v>
      </c>
      <c r="E22" s="3">
        <f t="array" ref="E22">STDEV(IF(datasheet!B:B="jp",datasheet!AA:AA))</f>
        <v>27.687666641628923</v>
      </c>
      <c r="F22" s="3">
        <f t="array" ref="F22">STDEV(IF(datasheet!B:B="mi",datasheet!AA:AA))</f>
        <v>3.9285905270735162</v>
      </c>
      <c r="G22" s="3">
        <f t="array" ref="G22">STDEV(IF(datasheet!B:B="hi",datasheet!AA:AA))</f>
        <v>28.940497247842529</v>
      </c>
      <c r="H22" s="3">
        <f t="array" ref="H22">STDEV(IF(datasheet!B:B="fp",datasheet!AA:AA))</f>
        <v>19.829511436480825</v>
      </c>
      <c r="I22" s="3">
        <f t="array" ref="I22">STDEV(IF(datasheet!B:B="fj",datasheet!AA:AA))</f>
        <v>45.298822648423581</v>
      </c>
      <c r="J22" s="5">
        <f>_xlfn.STDEV.P(datasheet!AA:AA)</f>
        <v>42.36706855084352</v>
      </c>
    </row>
  </sheetData>
  <pageMargins left="0.7" right="0.7" top="0.75" bottom="0.75" header="0.3" footer="0.3"/>
  <pageSetup paperSize="9" orientation="portrait" horizontalDpi="300" verticalDpi="300"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B1:I106"/>
  <sheetViews>
    <sheetView topLeftCell="C11" workbookViewId="0">
      <selection activeCell="E15" sqref="E15"/>
    </sheetView>
  </sheetViews>
  <sheetFormatPr defaultRowHeight="14.5" x14ac:dyDescent="0.35"/>
  <cols>
    <col min="2" max="2" width="65.81640625" bestFit="1" customWidth="1"/>
    <col min="3" max="3" width="15" bestFit="1" customWidth="1"/>
    <col min="5" max="5" width="52.54296875" bestFit="1" customWidth="1"/>
    <col min="6" max="6" width="12.26953125" bestFit="1" customWidth="1"/>
    <col min="8" max="8" width="60.26953125" bestFit="1" customWidth="1"/>
    <col min="9" max="9" width="34.7265625" bestFit="1" customWidth="1"/>
  </cols>
  <sheetData>
    <row r="1" spans="2:9" x14ac:dyDescent="0.35">
      <c r="B1" s="32" t="s">
        <v>62</v>
      </c>
      <c r="C1" s="32"/>
      <c r="E1" s="32" t="s">
        <v>85</v>
      </c>
      <c r="F1" s="32"/>
      <c r="H1" s="32" t="s">
        <v>61</v>
      </c>
      <c r="I1" s="32"/>
    </row>
    <row r="2" spans="2:9" x14ac:dyDescent="0.35">
      <c r="B2" s="4"/>
      <c r="E2" s="4"/>
      <c r="H2" s="13"/>
      <c r="I2" s="13"/>
    </row>
    <row r="3" spans="2:9" x14ac:dyDescent="0.35">
      <c r="B3" s="4" t="s">
        <v>28</v>
      </c>
      <c r="C3" s="4" t="s">
        <v>27</v>
      </c>
      <c r="E3" s="4" t="s">
        <v>28</v>
      </c>
      <c r="F3" s="4" t="s">
        <v>27</v>
      </c>
      <c r="H3" s="4" t="s">
        <v>28</v>
      </c>
      <c r="I3" s="4" t="s">
        <v>27</v>
      </c>
    </row>
    <row r="4" spans="2:9" x14ac:dyDescent="0.35">
      <c r="H4" s="4"/>
      <c r="I4" s="4"/>
    </row>
    <row r="5" spans="2:9" x14ac:dyDescent="0.35">
      <c r="B5" s="7" t="s">
        <v>9</v>
      </c>
      <c r="C5" t="s">
        <v>9</v>
      </c>
      <c r="E5" s="7" t="s">
        <v>78</v>
      </c>
      <c r="H5" s="7" t="s">
        <v>44</v>
      </c>
      <c r="I5" s="10" t="s">
        <v>138</v>
      </c>
    </row>
    <row r="6" spans="2:9" x14ac:dyDescent="0.35">
      <c r="B6" s="10" t="s">
        <v>65</v>
      </c>
      <c r="C6" t="s">
        <v>66</v>
      </c>
      <c r="E6" t="s">
        <v>79</v>
      </c>
      <c r="F6" t="s">
        <v>11</v>
      </c>
      <c r="H6" s="10" t="s">
        <v>166</v>
      </c>
      <c r="I6" s="10">
        <v>0</v>
      </c>
    </row>
    <row r="7" spans="2:9" x14ac:dyDescent="0.35">
      <c r="B7" t="s">
        <v>67</v>
      </c>
      <c r="C7" t="s">
        <v>68</v>
      </c>
      <c r="E7" t="s">
        <v>99</v>
      </c>
      <c r="F7" t="s">
        <v>133</v>
      </c>
      <c r="H7" s="10" t="s">
        <v>167</v>
      </c>
      <c r="I7">
        <v>1</v>
      </c>
    </row>
    <row r="8" spans="2:9" x14ac:dyDescent="0.35">
      <c r="B8" t="s">
        <v>69</v>
      </c>
      <c r="C8" t="s">
        <v>70</v>
      </c>
      <c r="E8" t="s">
        <v>100</v>
      </c>
      <c r="F8" t="s">
        <v>134</v>
      </c>
      <c r="H8" t="s">
        <v>168</v>
      </c>
      <c r="I8">
        <v>2</v>
      </c>
    </row>
    <row r="9" spans="2:9" x14ac:dyDescent="0.35">
      <c r="B9" t="s">
        <v>63</v>
      </c>
      <c r="C9" t="s">
        <v>64</v>
      </c>
      <c r="E9" t="s">
        <v>80</v>
      </c>
      <c r="F9" t="s">
        <v>135</v>
      </c>
    </row>
    <row r="10" spans="2:9" x14ac:dyDescent="0.35">
      <c r="B10" t="s">
        <v>128</v>
      </c>
      <c r="C10" t="s">
        <v>127</v>
      </c>
      <c r="E10" t="s">
        <v>81</v>
      </c>
      <c r="F10" t="s">
        <v>12</v>
      </c>
      <c r="H10" s="7" t="s">
        <v>15</v>
      </c>
      <c r="I10" t="s">
        <v>139</v>
      </c>
    </row>
    <row r="11" spans="2:9" x14ac:dyDescent="0.35">
      <c r="B11" s="7" t="s">
        <v>112</v>
      </c>
      <c r="C11" t="s">
        <v>129</v>
      </c>
      <c r="E11" t="s">
        <v>103</v>
      </c>
      <c r="F11" t="s">
        <v>101</v>
      </c>
      <c r="H11" t="s">
        <v>4</v>
      </c>
      <c r="I11">
        <v>0</v>
      </c>
    </row>
    <row r="12" spans="2:9" x14ac:dyDescent="0.35">
      <c r="E12" t="s">
        <v>104</v>
      </c>
      <c r="F12" t="s">
        <v>102</v>
      </c>
      <c r="H12" t="s">
        <v>154</v>
      </c>
      <c r="I12">
        <v>1</v>
      </c>
    </row>
    <row r="13" spans="2:9" x14ac:dyDescent="0.35">
      <c r="B13" s="4" t="s">
        <v>184</v>
      </c>
      <c r="C13" t="s">
        <v>170</v>
      </c>
      <c r="E13" t="s">
        <v>108</v>
      </c>
      <c r="F13" t="s">
        <v>13</v>
      </c>
      <c r="H13" t="s">
        <v>155</v>
      </c>
      <c r="I13">
        <v>2</v>
      </c>
    </row>
    <row r="14" spans="2:9" x14ac:dyDescent="0.35">
      <c r="B14" s="10" t="s">
        <v>185</v>
      </c>
      <c r="E14" t="s">
        <v>109</v>
      </c>
      <c r="F14" t="s">
        <v>110</v>
      </c>
      <c r="H14" t="s">
        <v>169</v>
      </c>
      <c r="I14">
        <v>3</v>
      </c>
    </row>
    <row r="15" spans="2:9" x14ac:dyDescent="0.35">
      <c r="E15" t="s">
        <v>83</v>
      </c>
      <c r="F15" t="s">
        <v>14</v>
      </c>
    </row>
    <row r="16" spans="2:9" x14ac:dyDescent="0.35">
      <c r="B16" s="7" t="s">
        <v>113</v>
      </c>
      <c r="C16" t="s">
        <v>111</v>
      </c>
      <c r="E16" t="s">
        <v>105</v>
      </c>
      <c r="F16" t="s">
        <v>106</v>
      </c>
      <c r="H16" s="7" t="s">
        <v>86</v>
      </c>
      <c r="I16" t="s">
        <v>142</v>
      </c>
    </row>
    <row r="17" spans="2:9" x14ac:dyDescent="0.35">
      <c r="H17" s="2" t="s">
        <v>6</v>
      </c>
      <c r="I17">
        <v>1</v>
      </c>
    </row>
    <row r="18" spans="2:9" x14ac:dyDescent="0.35">
      <c r="B18" s="7" t="s">
        <v>119</v>
      </c>
      <c r="C18" t="s">
        <v>130</v>
      </c>
      <c r="E18" s="7" t="s">
        <v>84</v>
      </c>
      <c r="F18" t="s">
        <v>136</v>
      </c>
      <c r="H18" s="2" t="s">
        <v>2</v>
      </c>
      <c r="I18">
        <v>2</v>
      </c>
    </row>
    <row r="19" spans="2:9" x14ac:dyDescent="0.35">
      <c r="B19" s="10" t="s">
        <v>120</v>
      </c>
      <c r="C19">
        <v>0</v>
      </c>
      <c r="E19" t="s">
        <v>79</v>
      </c>
      <c r="F19" t="s">
        <v>11</v>
      </c>
      <c r="H19" s="2" t="s">
        <v>7</v>
      </c>
      <c r="I19">
        <v>3</v>
      </c>
    </row>
    <row r="20" spans="2:9" x14ac:dyDescent="0.35">
      <c r="B20" s="10" t="s">
        <v>122</v>
      </c>
      <c r="C20">
        <v>1</v>
      </c>
      <c r="E20" t="s">
        <v>99</v>
      </c>
      <c r="F20" t="s">
        <v>133</v>
      </c>
      <c r="H20" s="2" t="s">
        <v>16</v>
      </c>
      <c r="I20">
        <v>4</v>
      </c>
    </row>
    <row r="21" spans="2:9" x14ac:dyDescent="0.35">
      <c r="E21" t="s">
        <v>100</v>
      </c>
      <c r="F21" t="s">
        <v>134</v>
      </c>
      <c r="H21" s="2" t="s">
        <v>17</v>
      </c>
      <c r="I21">
        <v>5</v>
      </c>
    </row>
    <row r="22" spans="2:9" x14ac:dyDescent="0.35">
      <c r="B22" s="7" t="s">
        <v>10</v>
      </c>
      <c r="C22" t="s">
        <v>132</v>
      </c>
      <c r="E22" t="s">
        <v>80</v>
      </c>
      <c r="F22" t="s">
        <v>135</v>
      </c>
      <c r="H22" s="2" t="s">
        <v>18</v>
      </c>
      <c r="I22">
        <v>6</v>
      </c>
    </row>
    <row r="23" spans="2:9" x14ac:dyDescent="0.35">
      <c r="B23" s="10" t="s">
        <v>171</v>
      </c>
      <c r="C23">
        <v>0</v>
      </c>
      <c r="E23" t="s">
        <v>81</v>
      </c>
      <c r="F23" t="s">
        <v>12</v>
      </c>
      <c r="H23" s="2" t="s">
        <v>19</v>
      </c>
      <c r="I23">
        <v>7</v>
      </c>
    </row>
    <row r="24" spans="2:9" x14ac:dyDescent="0.35">
      <c r="B24" s="10" t="s">
        <v>72</v>
      </c>
      <c r="C24">
        <v>1</v>
      </c>
      <c r="E24" t="s">
        <v>103</v>
      </c>
      <c r="F24" t="s">
        <v>101</v>
      </c>
      <c r="H24" s="2" t="s">
        <v>20</v>
      </c>
      <c r="I24">
        <v>8</v>
      </c>
    </row>
    <row r="25" spans="2:9" x14ac:dyDescent="0.35">
      <c r="B25" s="10"/>
      <c r="E25" t="s">
        <v>104</v>
      </c>
      <c r="F25" t="s">
        <v>102</v>
      </c>
      <c r="H25" s="2" t="s">
        <v>21</v>
      </c>
      <c r="I25">
        <v>9</v>
      </c>
    </row>
    <row r="26" spans="2:9" x14ac:dyDescent="0.35">
      <c r="E26" t="s">
        <v>82</v>
      </c>
      <c r="F26" t="s">
        <v>13</v>
      </c>
    </row>
    <row r="27" spans="2:9" x14ac:dyDescent="0.35">
      <c r="B27" s="7" t="s">
        <v>131</v>
      </c>
      <c r="C27" t="s">
        <v>131</v>
      </c>
      <c r="E27" t="s">
        <v>83</v>
      </c>
      <c r="F27" t="s">
        <v>14</v>
      </c>
      <c r="H27" s="8" t="s">
        <v>23</v>
      </c>
      <c r="I27" t="s">
        <v>29</v>
      </c>
    </row>
    <row r="28" spans="2:9" x14ac:dyDescent="0.35">
      <c r="B28" t="s">
        <v>73</v>
      </c>
      <c r="C28" s="1">
        <v>0</v>
      </c>
      <c r="E28" t="s">
        <v>105</v>
      </c>
      <c r="F28" t="s">
        <v>106</v>
      </c>
      <c r="H28" s="2" t="s">
        <v>22</v>
      </c>
      <c r="I28">
        <v>1</v>
      </c>
    </row>
    <row r="29" spans="2:9" x14ac:dyDescent="0.35">
      <c r="B29" t="s">
        <v>74</v>
      </c>
      <c r="C29" s="1">
        <v>0.25</v>
      </c>
      <c r="E29" t="s">
        <v>107</v>
      </c>
      <c r="F29" t="s">
        <v>42</v>
      </c>
      <c r="H29" s="2" t="s">
        <v>24</v>
      </c>
      <c r="I29">
        <v>2</v>
      </c>
    </row>
    <row r="30" spans="2:9" x14ac:dyDescent="0.35">
      <c r="B30" t="s">
        <v>75</v>
      </c>
      <c r="C30" s="1">
        <v>0.5</v>
      </c>
      <c r="E30" t="s">
        <v>126</v>
      </c>
      <c r="F30" t="s">
        <v>137</v>
      </c>
      <c r="H30" s="2" t="s">
        <v>25</v>
      </c>
      <c r="I30">
        <v>3</v>
      </c>
    </row>
    <row r="31" spans="2:9" x14ac:dyDescent="0.35">
      <c r="B31" t="s">
        <v>76</v>
      </c>
      <c r="C31" s="1">
        <v>0.75</v>
      </c>
      <c r="H31" s="2" t="s">
        <v>26</v>
      </c>
      <c r="I31">
        <v>4</v>
      </c>
    </row>
    <row r="32" spans="2:9" x14ac:dyDescent="0.35">
      <c r="B32" t="s">
        <v>77</v>
      </c>
      <c r="C32" s="1">
        <v>1</v>
      </c>
    </row>
    <row r="33" spans="2:9" x14ac:dyDescent="0.35">
      <c r="H33" s="7" t="s">
        <v>87</v>
      </c>
      <c r="I33" t="s">
        <v>143</v>
      </c>
    </row>
    <row r="34" spans="2:9" x14ac:dyDescent="0.35">
      <c r="B34" s="7"/>
      <c r="H34" s="2"/>
    </row>
    <row r="35" spans="2:9" x14ac:dyDescent="0.35">
      <c r="C35" s="12"/>
      <c r="H35" s="16" t="s">
        <v>157</v>
      </c>
      <c r="I35" t="s">
        <v>156</v>
      </c>
    </row>
    <row r="36" spans="2:9" x14ac:dyDescent="0.35">
      <c r="C36" s="3"/>
      <c r="H36" t="s">
        <v>158</v>
      </c>
      <c r="I36">
        <v>1</v>
      </c>
    </row>
    <row r="37" spans="2:9" x14ac:dyDescent="0.35">
      <c r="C37" s="3"/>
      <c r="H37" t="s">
        <v>162</v>
      </c>
      <c r="I37">
        <v>2</v>
      </c>
    </row>
    <row r="38" spans="2:9" x14ac:dyDescent="0.35">
      <c r="H38" t="s">
        <v>163</v>
      </c>
      <c r="I38">
        <v>3</v>
      </c>
    </row>
    <row r="39" spans="2:9" x14ac:dyDescent="0.35">
      <c r="H39" t="s">
        <v>164</v>
      </c>
      <c r="I39">
        <v>4</v>
      </c>
    </row>
    <row r="40" spans="2:9" x14ac:dyDescent="0.35">
      <c r="H40" t="s">
        <v>165</v>
      </c>
      <c r="I40">
        <v>5</v>
      </c>
    </row>
    <row r="42" spans="2:9" x14ac:dyDescent="0.35">
      <c r="H42" s="8" t="s">
        <v>88</v>
      </c>
      <c r="I42" t="s">
        <v>152</v>
      </c>
    </row>
    <row r="43" spans="2:9" x14ac:dyDescent="0.35">
      <c r="H43" s="2" t="s">
        <v>153</v>
      </c>
      <c r="I43" t="s">
        <v>71</v>
      </c>
    </row>
    <row r="45" spans="2:9" x14ac:dyDescent="0.35">
      <c r="H45" s="8" t="s">
        <v>30</v>
      </c>
      <c r="I45" t="s">
        <v>145</v>
      </c>
    </row>
    <row r="46" spans="2:9" x14ac:dyDescent="0.35">
      <c r="H46" s="2" t="s">
        <v>3</v>
      </c>
      <c r="I46">
        <v>1</v>
      </c>
    </row>
    <row r="47" spans="2:9" x14ac:dyDescent="0.35">
      <c r="H47" s="2" t="s">
        <v>8</v>
      </c>
      <c r="I47">
        <v>2</v>
      </c>
    </row>
    <row r="48" spans="2:9" x14ac:dyDescent="0.35">
      <c r="H48" s="2" t="s">
        <v>1</v>
      </c>
      <c r="I48">
        <v>3</v>
      </c>
    </row>
    <row r="49" spans="8:9" x14ac:dyDescent="0.35">
      <c r="H49" s="2" t="s">
        <v>2</v>
      </c>
      <c r="I49">
        <v>4</v>
      </c>
    </row>
    <row r="50" spans="8:9" x14ac:dyDescent="0.35">
      <c r="H50" s="2" t="s">
        <v>0</v>
      </c>
      <c r="I50">
        <v>5</v>
      </c>
    </row>
    <row r="52" spans="8:9" x14ac:dyDescent="0.35">
      <c r="H52" s="8" t="s">
        <v>46</v>
      </c>
      <c r="I52" t="s">
        <v>146</v>
      </c>
    </row>
    <row r="53" spans="8:9" x14ac:dyDescent="0.35">
      <c r="H53" s="2" t="s">
        <v>45</v>
      </c>
      <c r="I53">
        <v>1</v>
      </c>
    </row>
    <row r="54" spans="8:9" x14ac:dyDescent="0.35">
      <c r="H54" s="2" t="s">
        <v>47</v>
      </c>
      <c r="I54">
        <v>2</v>
      </c>
    </row>
    <row r="55" spans="8:9" x14ac:dyDescent="0.35">
      <c r="H55" s="2" t="s">
        <v>48</v>
      </c>
      <c r="I55">
        <v>3</v>
      </c>
    </row>
    <row r="56" spans="8:9" x14ac:dyDescent="0.35">
      <c r="H56" s="2" t="s">
        <v>49</v>
      </c>
      <c r="I56">
        <v>4</v>
      </c>
    </row>
    <row r="58" spans="8:9" x14ac:dyDescent="0.35">
      <c r="H58" s="8" t="s">
        <v>37</v>
      </c>
      <c r="I58" t="s">
        <v>35</v>
      </c>
    </row>
    <row r="59" spans="8:9" x14ac:dyDescent="0.35">
      <c r="H59" s="2" t="s">
        <v>36</v>
      </c>
      <c r="I59">
        <v>1</v>
      </c>
    </row>
    <row r="60" spans="8:9" x14ac:dyDescent="0.35">
      <c r="H60" s="2" t="s">
        <v>8</v>
      </c>
      <c r="I60">
        <v>2</v>
      </c>
    </row>
    <row r="61" spans="8:9" x14ac:dyDescent="0.35">
      <c r="H61" s="2" t="s">
        <v>1</v>
      </c>
      <c r="I61">
        <v>3</v>
      </c>
    </row>
    <row r="62" spans="8:9" x14ac:dyDescent="0.35">
      <c r="H62" s="2" t="s">
        <v>5</v>
      </c>
      <c r="I62">
        <v>4</v>
      </c>
    </row>
    <row r="64" spans="8:9" x14ac:dyDescent="0.35">
      <c r="H64" s="7" t="s">
        <v>31</v>
      </c>
      <c r="I64" t="s">
        <v>147</v>
      </c>
    </row>
    <row r="65" spans="8:9" x14ac:dyDescent="0.35">
      <c r="H65" s="2" t="s">
        <v>4</v>
      </c>
      <c r="I65">
        <v>0</v>
      </c>
    </row>
    <row r="66" spans="8:9" x14ac:dyDescent="0.35">
      <c r="H66" s="2" t="s">
        <v>32</v>
      </c>
      <c r="I66">
        <v>1</v>
      </c>
    </row>
    <row r="67" spans="8:9" x14ac:dyDescent="0.35">
      <c r="H67" s="2" t="s">
        <v>33</v>
      </c>
      <c r="I67">
        <v>2</v>
      </c>
    </row>
    <row r="68" spans="8:9" x14ac:dyDescent="0.35">
      <c r="H68" s="2" t="s">
        <v>34</v>
      </c>
      <c r="I68">
        <v>3</v>
      </c>
    </row>
    <row r="70" spans="8:9" x14ac:dyDescent="0.35">
      <c r="H70" s="8" t="s">
        <v>89</v>
      </c>
      <c r="I70" t="s">
        <v>38</v>
      </c>
    </row>
    <row r="71" spans="8:9" x14ac:dyDescent="0.35">
      <c r="H71" t="s">
        <v>90</v>
      </c>
      <c r="I71">
        <v>0</v>
      </c>
    </row>
    <row r="72" spans="8:9" x14ac:dyDescent="0.35">
      <c r="H72" t="s">
        <v>92</v>
      </c>
      <c r="I72">
        <v>1</v>
      </c>
    </row>
    <row r="73" spans="8:9" x14ac:dyDescent="0.35">
      <c r="H73" t="s">
        <v>91</v>
      </c>
      <c r="I73">
        <v>2</v>
      </c>
    </row>
    <row r="74" spans="8:9" x14ac:dyDescent="0.35">
      <c r="H74" t="s">
        <v>93</v>
      </c>
      <c r="I74">
        <v>3</v>
      </c>
    </row>
    <row r="76" spans="8:9" x14ac:dyDescent="0.35">
      <c r="H76" s="8" t="s">
        <v>39</v>
      </c>
      <c r="I76" t="s">
        <v>148</v>
      </c>
    </row>
    <row r="77" spans="8:9" x14ac:dyDescent="0.35">
      <c r="H77" s="2" t="s">
        <v>42</v>
      </c>
      <c r="I77">
        <v>0</v>
      </c>
    </row>
    <row r="78" spans="8:9" x14ac:dyDescent="0.35">
      <c r="H78" s="2" t="s">
        <v>40</v>
      </c>
      <c r="I78">
        <v>1</v>
      </c>
    </row>
    <row r="79" spans="8:9" x14ac:dyDescent="0.35">
      <c r="H79" s="2" t="s">
        <v>41</v>
      </c>
      <c r="I79">
        <v>2</v>
      </c>
    </row>
    <row r="80" spans="8:9" x14ac:dyDescent="0.35">
      <c r="H80" s="2" t="s">
        <v>43</v>
      </c>
      <c r="I80">
        <v>3</v>
      </c>
    </row>
    <row r="82" spans="8:9" x14ac:dyDescent="0.35">
      <c r="H82" s="7" t="s">
        <v>51</v>
      </c>
      <c r="I82" t="s">
        <v>50</v>
      </c>
    </row>
    <row r="83" spans="8:9" x14ac:dyDescent="0.35">
      <c r="H83" s="2" t="s">
        <v>52</v>
      </c>
      <c r="I83">
        <v>1</v>
      </c>
    </row>
    <row r="84" spans="8:9" x14ac:dyDescent="0.35">
      <c r="H84" s="2" t="s">
        <v>41</v>
      </c>
      <c r="I84">
        <v>2</v>
      </c>
    </row>
    <row r="85" spans="8:9" x14ac:dyDescent="0.35">
      <c r="H85" s="2" t="s">
        <v>53</v>
      </c>
      <c r="I85">
        <v>3</v>
      </c>
    </row>
    <row r="87" spans="8:9" x14ac:dyDescent="0.35">
      <c r="H87" s="8" t="s">
        <v>55</v>
      </c>
      <c r="I87" t="s">
        <v>54</v>
      </c>
    </row>
    <row r="88" spans="8:9" x14ac:dyDescent="0.35">
      <c r="H88" s="2" t="s">
        <v>56</v>
      </c>
      <c r="I88">
        <v>0</v>
      </c>
    </row>
    <row r="89" spans="8:9" x14ac:dyDescent="0.35">
      <c r="H89" s="2" t="s">
        <v>57</v>
      </c>
      <c r="I89">
        <v>1</v>
      </c>
    </row>
    <row r="90" spans="8:9" x14ac:dyDescent="0.35">
      <c r="H90" s="2" t="s">
        <v>58</v>
      </c>
      <c r="I90">
        <v>2</v>
      </c>
    </row>
    <row r="92" spans="8:9" x14ac:dyDescent="0.35">
      <c r="H92" s="8" t="s">
        <v>94</v>
      </c>
      <c r="I92" t="s">
        <v>60</v>
      </c>
    </row>
    <row r="93" spans="8:9" x14ac:dyDescent="0.35">
      <c r="H93" s="2" t="s">
        <v>4</v>
      </c>
      <c r="I93">
        <v>0</v>
      </c>
    </row>
    <row r="94" spans="8:9" x14ac:dyDescent="0.35">
      <c r="H94" s="2" t="s">
        <v>95</v>
      </c>
      <c r="I94">
        <v>1</v>
      </c>
    </row>
    <row r="95" spans="8:9" x14ac:dyDescent="0.35">
      <c r="H95" s="2" t="s">
        <v>96</v>
      </c>
      <c r="I95">
        <v>2</v>
      </c>
    </row>
    <row r="96" spans="8:9" x14ac:dyDescent="0.35">
      <c r="H96" s="2" t="s">
        <v>97</v>
      </c>
      <c r="I96">
        <v>3</v>
      </c>
    </row>
    <row r="98" spans="8:9" x14ac:dyDescent="0.35">
      <c r="H98" s="7" t="s">
        <v>59</v>
      </c>
      <c r="I98" t="s">
        <v>98</v>
      </c>
    </row>
    <row r="99" spans="8:9" x14ac:dyDescent="0.35">
      <c r="H99" s="2" t="s">
        <v>56</v>
      </c>
      <c r="I99">
        <v>0</v>
      </c>
    </row>
    <row r="100" spans="8:9" x14ac:dyDescent="0.35">
      <c r="H100" s="2" t="s">
        <v>40</v>
      </c>
      <c r="I100">
        <v>1</v>
      </c>
    </row>
    <row r="101" spans="8:9" x14ac:dyDescent="0.35">
      <c r="H101" s="2" t="s">
        <v>41</v>
      </c>
      <c r="I101">
        <v>2</v>
      </c>
    </row>
    <row r="102" spans="8:9" x14ac:dyDescent="0.35">
      <c r="H102" s="2" t="s">
        <v>43</v>
      </c>
      <c r="I102">
        <v>3</v>
      </c>
    </row>
    <row r="103" spans="8:9" x14ac:dyDescent="0.35">
      <c r="H103" s="2"/>
    </row>
    <row r="104" spans="8:9" x14ac:dyDescent="0.35">
      <c r="H104" s="2"/>
    </row>
    <row r="105" spans="8:9" x14ac:dyDescent="0.35">
      <c r="H105" s="2"/>
    </row>
    <row r="106" spans="8:9" x14ac:dyDescent="0.35">
      <c r="H106" s="2"/>
    </row>
  </sheetData>
  <mergeCells count="3">
    <mergeCell ref="H1:I1"/>
    <mergeCell ref="E1:F1"/>
    <mergeCell ref="B1:C1"/>
  </mergeCells>
  <pageMargins left="0.7" right="0.7" top="0.75" bottom="0.75" header="0.3" footer="0.3"/>
  <pageSetup paperSize="9" orientation="portrait" horizontalDpi="300" verticalDpi="300" r:id="rId1"/>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C517A21884C7904D94FAE8E78F6791C9" ma:contentTypeVersion="14" ma:contentTypeDescription="Create a new document." ma:contentTypeScope="" ma:versionID="c8f0ea01bae9bbbcf3e04c78f0d3bfb1">
  <xsd:schema xmlns:xsd="http://www.w3.org/2001/XMLSchema" xmlns:xs="http://www.w3.org/2001/XMLSchema" xmlns:p="http://schemas.microsoft.com/office/2006/metadata/properties" xmlns:ns3="2b7eb747-fbb4-4328-b123-7b92e8430e97" xmlns:ns4="c8f38e00-0858-4873-9dd9-b62711104405" targetNamespace="http://schemas.microsoft.com/office/2006/metadata/properties" ma:root="true" ma:fieldsID="27e4ba63324dd816881ea373476538be" ns3:_="" ns4:_="">
    <xsd:import namespace="2b7eb747-fbb4-4328-b123-7b92e8430e97"/>
    <xsd:import namespace="c8f38e00-0858-4873-9dd9-b62711104405"/>
    <xsd:element name="properties">
      <xsd:complexType>
        <xsd:sequence>
          <xsd:element name="documentManagement">
            <xsd:complexType>
              <xsd:all>
                <xsd:element ref="ns3:MediaServiceMetadata" minOccurs="0"/>
                <xsd:element ref="ns3:MediaServiceFastMetadata" minOccurs="0"/>
                <xsd:element ref="ns3:MediaServiceDateTaken" minOccurs="0"/>
                <xsd:element ref="ns3:MediaServiceAutoTags" minOccurs="0"/>
                <xsd:element ref="ns3:MediaServiceGenerationTime" minOccurs="0"/>
                <xsd:element ref="ns3:MediaServiceEventHashCode" minOccurs="0"/>
                <xsd:element ref="ns3:MediaServiceLocation" minOccurs="0"/>
                <xsd:element ref="ns3:MediaServiceOCR" minOccurs="0"/>
                <xsd:element ref="ns4:SharedWithUsers" minOccurs="0"/>
                <xsd:element ref="ns4:SharedWithDetails" minOccurs="0"/>
                <xsd:element ref="ns4:SharingHintHash" minOccurs="0"/>
                <xsd:element ref="ns3:MediaServiceAutoKeyPoints" minOccurs="0"/>
                <xsd:element ref="ns3:MediaServiceKeyPoints" minOccurs="0"/>
                <xsd:element ref="ns3: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7eb747-fbb4-4328-b123-7b92e8430e9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Location" ma:index="14" nillable="true" ma:displayName="Location" ma:internalName="MediaServiceLocation"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AutoKeyPoints" ma:index="19" nillable="true" ma:displayName="MediaServiceAutoKeyPoints" ma:hidden="true" ma:internalName="MediaServiceAutoKeyPoints" ma:readOnly="true">
      <xsd:simpleType>
        <xsd:restriction base="dms:Note"/>
      </xsd:simpleType>
    </xsd:element>
    <xsd:element name="MediaServiceKeyPoints" ma:index="20" nillable="true" ma:displayName="KeyPoints" ma:internalName="MediaServiceKeyPoints" ma:readOnly="true">
      <xsd:simpleType>
        <xsd:restriction base="dms:Note">
          <xsd:maxLength value="255"/>
        </xsd:restriction>
      </xsd:simpleType>
    </xsd:element>
    <xsd:element name="MediaLengthInSeconds" ma:index="21" nillable="true" ma:displayName="Length (seconds)"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c8f38e00-0858-4873-9dd9-b62711104405" elementFormDefault="qualified">
    <xsd:import namespace="http://schemas.microsoft.com/office/2006/documentManagement/types"/>
    <xsd:import namespace="http://schemas.microsoft.com/office/infopath/2007/PartnerControls"/>
    <xsd:element name="SharedWithUsers" ma:index="16"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Shared With Details" ma:internalName="SharedWithDetails" ma:readOnly="true">
      <xsd:simpleType>
        <xsd:restriction base="dms:Note">
          <xsd:maxLength value="255"/>
        </xsd:restriction>
      </xsd:simpleType>
    </xsd:element>
    <xsd:element name="SharingHintHash" ma:index="18"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4BD6540-273F-4E2E-9454-96C420FF2CA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b7eb747-fbb4-4328-b123-7b92e8430e97"/>
    <ds:schemaRef ds:uri="c8f38e00-0858-4873-9dd9-b6271110440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3DE72FF9-3F36-4C83-B74D-E410CDCD09A9}">
  <ds:schemaRefs>
    <ds:schemaRef ds:uri="http://purl.org/dc/terms/"/>
    <ds:schemaRef ds:uri="2b7eb747-fbb4-4328-b123-7b92e8430e97"/>
    <ds:schemaRef ds:uri="http://schemas.microsoft.com/office/2006/documentManagement/types"/>
    <ds:schemaRef ds:uri="http://purl.org/dc/dcmitype/"/>
    <ds:schemaRef ds:uri="http://schemas.microsoft.com/office/infopath/2007/PartnerControls"/>
    <ds:schemaRef ds:uri="c8f38e00-0858-4873-9dd9-b62711104405"/>
    <ds:schemaRef ds:uri="http://purl.org/dc/elements/1.1/"/>
    <ds:schemaRef ds:uri="http://schemas.microsoft.com/office/2006/metadata/properties"/>
    <ds:schemaRef ds:uri="http://schemas.openxmlformats.org/package/2006/metadata/core-properties"/>
    <ds:schemaRef ds:uri="http://www.w3.org/XML/1998/namespace"/>
  </ds:schemaRefs>
</ds:datastoreItem>
</file>

<file path=customXml/itemProps3.xml><?xml version="1.0" encoding="utf-8"?>
<ds:datastoreItem xmlns:ds="http://schemas.openxmlformats.org/officeDocument/2006/customXml" ds:itemID="{69AC2B8D-9853-4078-B2BD-FD449549CE0B}">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datasheet</vt:lpstr>
      <vt:lpstr>sample description</vt:lpstr>
      <vt:lpstr>codesheet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2015-06-05T18:17:20Z</dcterms:created>
  <dcterms:modified xsi:type="dcterms:W3CDTF">2023-02-07T06:28:23Z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0x010100C517A21884C7904D94FAE8E78F6791C9</vt:lpwstr>
  </property>
</Properties>
</file>